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Dell\Desktop\ADS 2024\5. Agriculture &amp; Livestock\"/>
    </mc:Choice>
  </mc:AlternateContent>
  <xr:revisionPtr revIDLastSave="0" documentId="13_ncr:1_{DE0BEDA5-7AA7-41CE-BBCD-C8337A9D18C8}" xr6:coauthVersionLast="47" xr6:coauthVersionMax="47" xr10:uidLastSave="{00000000-0000-0000-0000-000000000000}"/>
  <bookViews>
    <workbookView xWindow="-110" yWindow="-110" windowWidth="19420" windowHeight="11500" firstSheet="2" activeTab="8" xr2:uid="{00000000-000D-0000-FFFF-FFFF00000000}"/>
  </bookViews>
  <sheets>
    <sheet name="Table 5.1" sheetId="1" r:id="rId1"/>
    <sheet name="Table 5.2" sheetId="2" r:id="rId2"/>
    <sheet name="Table 5.3" sheetId="3" r:id="rId3"/>
    <sheet name="Table 5.4" sheetId="4" r:id="rId4"/>
    <sheet name="Table 5.5" sheetId="5" r:id="rId5"/>
    <sheet name="Table 5.6" sheetId="6" r:id="rId6"/>
    <sheet name="Table 5.7" sheetId="7" r:id="rId7"/>
    <sheet name="Table 5.8" sheetId="8" r:id="rId8"/>
    <sheet name="Table 5.9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8" l="1"/>
  <c r="J8" i="3" l="1"/>
  <c r="J5" i="3"/>
  <c r="K18" i="9"/>
  <c r="K15" i="9"/>
  <c r="K21" i="9"/>
  <c r="J6" i="9"/>
  <c r="K45" i="9"/>
  <c r="K42" i="9"/>
  <c r="K39" i="9"/>
  <c r="K27" i="9"/>
  <c r="K24" i="9"/>
  <c r="K32" i="9" l="1"/>
  <c r="K35" i="9"/>
  <c r="K12" i="9"/>
  <c r="K9" i="9"/>
  <c r="P16" i="9"/>
  <c r="K6" i="9"/>
  <c r="J42" i="8"/>
  <c r="J30" i="8"/>
  <c r="J26" i="8"/>
  <c r="J22" i="8"/>
  <c r="J18" i="8"/>
  <c r="J14" i="8"/>
  <c r="J10" i="8"/>
  <c r="J6" i="8"/>
  <c r="J11" i="3"/>
  <c r="J20" i="3"/>
  <c r="J17" i="3"/>
  <c r="J14" i="3"/>
  <c r="I6" i="8" l="1"/>
  <c r="I11" i="3"/>
  <c r="I20" i="3"/>
  <c r="I17" i="3"/>
  <c r="D4" i="1" l="1"/>
  <c r="D5" i="1"/>
  <c r="D6" i="1"/>
  <c r="H35" i="9"/>
  <c r="G38" i="8"/>
  <c r="G14" i="8"/>
  <c r="G34" i="8"/>
  <c r="G42" i="8"/>
  <c r="G26" i="8"/>
  <c r="G18" i="8"/>
  <c r="G22" i="8"/>
  <c r="H12" i="9"/>
  <c r="H45" i="9"/>
  <c r="G10" i="8"/>
  <c r="G30" i="8"/>
  <c r="G6" i="8"/>
  <c r="H18" i="9"/>
  <c r="H9" i="9"/>
  <c r="H6" i="9"/>
  <c r="H32" i="9"/>
  <c r="H15" i="9"/>
  <c r="H21" i="9"/>
  <c r="H39" i="9"/>
  <c r="H27" i="9"/>
  <c r="H24" i="9"/>
  <c r="H42" i="9"/>
  <c r="G10" i="3"/>
  <c r="G9" i="3"/>
  <c r="G11" i="3" s="1"/>
  <c r="G19" i="3"/>
  <c r="G20" i="3" s="1"/>
  <c r="G7" i="3"/>
  <c r="G8" i="3"/>
  <c r="G16" i="3"/>
  <c r="G17" i="3"/>
  <c r="G4" i="3"/>
  <c r="G5" i="3" s="1"/>
  <c r="G13" i="3"/>
  <c r="G14" i="3" s="1"/>
  <c r="G45" i="9"/>
  <c r="G42" i="9"/>
  <c r="G18" i="9"/>
  <c r="G6" i="9"/>
  <c r="G12" i="9"/>
  <c r="G9" i="9"/>
  <c r="G39" i="9"/>
  <c r="G32" i="9"/>
  <c r="G35" i="9"/>
  <c r="G15" i="9"/>
  <c r="G21" i="9"/>
  <c r="G27" i="9"/>
  <c r="G24" i="9"/>
  <c r="F34" i="8"/>
  <c r="F26" i="8"/>
  <c r="F42" i="8"/>
  <c r="F22" i="8"/>
  <c r="F18" i="8"/>
  <c r="F14" i="8"/>
  <c r="F10" i="8"/>
  <c r="F38" i="8"/>
  <c r="F30" i="8"/>
  <c r="F6" i="8"/>
  <c r="F10" i="3"/>
  <c r="F9" i="3"/>
  <c r="F16" i="3"/>
  <c r="F17" i="3" s="1"/>
  <c r="F19" i="3"/>
  <c r="F20" i="3" s="1"/>
  <c r="F7" i="3"/>
  <c r="F8" i="3"/>
  <c r="F4" i="3"/>
  <c r="F5" i="3" s="1"/>
  <c r="F13" i="3"/>
  <c r="F14" i="3"/>
  <c r="F45" i="9"/>
  <c r="F42" i="9"/>
  <c r="F18" i="9"/>
  <c r="F39" i="9"/>
  <c r="F32" i="9"/>
  <c r="F35" i="9"/>
  <c r="F15" i="9"/>
  <c r="F6" i="9"/>
  <c r="F12" i="9"/>
  <c r="F9" i="9"/>
  <c r="F21" i="9"/>
  <c r="F27" i="9"/>
  <c r="F24" i="9"/>
  <c r="E30" i="8"/>
  <c r="E38" i="8"/>
  <c r="E14" i="8"/>
  <c r="E10" i="8"/>
  <c r="E34" i="8"/>
  <c r="E42" i="8"/>
  <c r="E26" i="8"/>
  <c r="E18" i="8"/>
  <c r="E22" i="8"/>
  <c r="E6" i="8"/>
  <c r="E10" i="3"/>
  <c r="E9" i="3"/>
  <c r="E19" i="3"/>
  <c r="E20" i="3" s="1"/>
  <c r="E16" i="3"/>
  <c r="E17" i="3" s="1"/>
  <c r="E7" i="3"/>
  <c r="E8" i="3" s="1"/>
  <c r="E4" i="3"/>
  <c r="E5" i="3"/>
  <c r="E13" i="3"/>
  <c r="E14" i="3" s="1"/>
  <c r="G15" i="7"/>
  <c r="G14" i="7"/>
  <c r="G11" i="7"/>
  <c r="G10" i="7"/>
  <c r="G9" i="7"/>
  <c r="G6" i="7"/>
  <c r="G5" i="7"/>
  <c r="G4" i="7"/>
  <c r="D10" i="3"/>
  <c r="D11" i="3" s="1"/>
  <c r="D9" i="3"/>
  <c r="E45" i="9"/>
  <c r="E42" i="9"/>
  <c r="E39" i="9"/>
  <c r="E35" i="9"/>
  <c r="E32" i="9"/>
  <c r="E27" i="9"/>
  <c r="E24" i="9"/>
  <c r="E21" i="9"/>
  <c r="E18" i="9"/>
  <c r="E15" i="9"/>
  <c r="E12" i="9"/>
  <c r="E9" i="9"/>
  <c r="E6" i="9"/>
  <c r="D42" i="8"/>
  <c r="D38" i="8"/>
  <c r="D34" i="8"/>
  <c r="D30" i="8"/>
  <c r="D26" i="8"/>
  <c r="D22" i="8"/>
  <c r="D18" i="8"/>
  <c r="D14" i="8"/>
  <c r="D10" i="8"/>
  <c r="D6" i="8"/>
  <c r="D19" i="3"/>
  <c r="D20" i="3" s="1"/>
  <c r="D16" i="3"/>
  <c r="D17" i="3" s="1"/>
  <c r="D7" i="3"/>
  <c r="D8" i="3"/>
  <c r="D4" i="3"/>
  <c r="D5" i="3"/>
  <c r="D13" i="3"/>
  <c r="D14" i="3" s="1"/>
  <c r="F15" i="5"/>
  <c r="E15" i="5"/>
  <c r="E11" i="5"/>
  <c r="F10" i="5"/>
  <c r="F11" i="5" s="1"/>
  <c r="F9" i="5"/>
  <c r="D7" i="1"/>
  <c r="F11" i="3" l="1"/>
  <c r="E1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C37606A3-38F9-4A7D-9274-A4B5ED140F18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12.2_x000D_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387E62B6-8624-42EB-90A0-CE0D9602CFD9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12.1_x000D_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E7B57C6F-8D7E-484C-82F8-8BC8E0ED209B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12.5_x000D_
</t>
        </r>
      </text>
    </comment>
  </commentList>
</comments>
</file>

<file path=xl/sharedStrings.xml><?xml version="1.0" encoding="utf-8"?>
<sst xmlns="http://schemas.openxmlformats.org/spreadsheetml/2006/main" count="625" uniqueCount="309">
  <si>
    <t>Table 5.1:  Agriculture Land Holdings by Type, Pema Gatshel</t>
  </si>
  <si>
    <t>(Hectares)</t>
  </si>
  <si>
    <t>Land holding</t>
  </si>
  <si>
    <t>Wet land</t>
  </si>
  <si>
    <t>Dry land</t>
  </si>
  <si>
    <t>Orchad</t>
  </si>
  <si>
    <t>Total area</t>
  </si>
  <si>
    <t>Details</t>
  </si>
  <si>
    <t>2015/16</t>
  </si>
  <si>
    <t>2016/17</t>
  </si>
  <si>
    <t>2017/18</t>
  </si>
  <si>
    <t>RNR centres</t>
  </si>
  <si>
    <t>Agriculture Extension Centres</t>
  </si>
  <si>
    <t>Livestock Extension Centres</t>
  </si>
  <si>
    <t>Functional Irrigation channels</t>
  </si>
  <si>
    <t>Non-Functional Irrigation channels</t>
  </si>
  <si>
    <t>…</t>
  </si>
  <si>
    <t>Total length of channels (km)</t>
  </si>
  <si>
    <t>Area covered by irrigation  (acres)</t>
  </si>
  <si>
    <t>Number of households benefitted by irrigation</t>
  </si>
  <si>
    <t>Number of food processing units</t>
  </si>
  <si>
    <t>Number of livestock product processing units(milk)</t>
  </si>
  <si>
    <t>Number of power tillers</t>
  </si>
  <si>
    <t xml:space="preserve">Source: Dzongkhag Agriculture &amp; Livestock Sector, Pema Gatshel </t>
  </si>
  <si>
    <t>Crop/Productions</t>
  </si>
  <si>
    <t>Wheat</t>
  </si>
  <si>
    <t>Area (Acres)</t>
  </si>
  <si>
    <t>Production (Kg)</t>
  </si>
  <si>
    <t>Yield (Kg/Acre)</t>
  </si>
  <si>
    <t>Barley</t>
  </si>
  <si>
    <t>Maize</t>
  </si>
  <si>
    <t>Buckwheat</t>
  </si>
  <si>
    <t>Millet</t>
  </si>
  <si>
    <t>Farmers' Group/Associations/Cooperatives</t>
  </si>
  <si>
    <t>Number</t>
  </si>
  <si>
    <t xml:space="preserve">Year Registered </t>
  </si>
  <si>
    <t>Remarks</t>
  </si>
  <si>
    <t xml:space="preserve">Forestry Production </t>
  </si>
  <si>
    <t>Chimung Meday Detshen</t>
  </si>
  <si>
    <t>2012-2013</t>
  </si>
  <si>
    <t>Agriculture</t>
  </si>
  <si>
    <t>Sonam Yarphel Detshen</t>
  </si>
  <si>
    <t>Mandi-Thongsa Farm Road User Group</t>
  </si>
  <si>
    <t>2011-2012</t>
  </si>
  <si>
    <t>Rezimo Chiwog Sonam Gongphel Tshogpa</t>
  </si>
  <si>
    <t>2010-2011</t>
  </si>
  <si>
    <t>Shingchongre Baysem Nyenrel Tshogpa</t>
  </si>
  <si>
    <t>Gonpawog Tshesay Tshogpa</t>
  </si>
  <si>
    <t>Tokari Momtse Tshogpa</t>
  </si>
  <si>
    <t>Bara Gonpa  Momtse Tshogpa</t>
  </si>
  <si>
    <t>Taephu Momtse Tshogpa</t>
  </si>
  <si>
    <t>Wongchilu Momtse Tshogpa</t>
  </si>
  <si>
    <t>Wooliktang Momtse Tshogpa</t>
  </si>
  <si>
    <t>Nanong Vegetable Group</t>
  </si>
  <si>
    <t>Khenadang-Yelchen</t>
  </si>
  <si>
    <t>Ngangshing-Wongcxhilo</t>
  </si>
  <si>
    <t>Satsalo Vegetable Group</t>
  </si>
  <si>
    <t>Menchu Vegetable Group</t>
  </si>
  <si>
    <t>Vegetable production</t>
  </si>
  <si>
    <t>2016-2017</t>
  </si>
  <si>
    <t>Nazhoen Sonam Sazhi
 Chechong Tshogpa</t>
  </si>
  <si>
    <t>2017-2018</t>
  </si>
  <si>
    <t>Sachanglo_Menchu RUG</t>
  </si>
  <si>
    <t>Abashing_Gashare RUG</t>
  </si>
  <si>
    <t>Ningshingborang_Phudazashing RUG</t>
  </si>
  <si>
    <t>Borangmo RUG</t>
  </si>
  <si>
    <t>Dorjijadam_Norbugang RUG</t>
  </si>
  <si>
    <t>Rinchenthang_Tenzinma RUG</t>
  </si>
  <si>
    <t>Benjare RUG</t>
  </si>
  <si>
    <t>Tshelshingzor_Tingtingtsho RUG</t>
  </si>
  <si>
    <t>Menchu_Menchugoenpa RUG</t>
  </si>
  <si>
    <t>Ningshingborang_Rangthangwong RUG</t>
  </si>
  <si>
    <t>Zumpheree_Tekalung RUG</t>
  </si>
  <si>
    <t>WUA for Tenzinma irrigation channel</t>
  </si>
  <si>
    <t>WUA for Tekalung irrigation channel</t>
  </si>
  <si>
    <t>Yallang Momtse Tshogpa</t>
  </si>
  <si>
    <t>Dungsam Gongphel Sonam Tshogpa</t>
  </si>
  <si>
    <t>Nangkhor Silo Group</t>
  </si>
  <si>
    <t>Nangkhor Momtse Tshogpa</t>
  </si>
  <si>
    <t>Shumer Momtse Tshogpa</t>
  </si>
  <si>
    <t>Bartseri Momtse Tshogpa</t>
  </si>
  <si>
    <t>Khoray Pam</t>
  </si>
  <si>
    <t>Dagor Rajma Bean Group</t>
  </si>
  <si>
    <t>Farm road</t>
  </si>
  <si>
    <t>Shali-Gamung Farm Road User Group</t>
  </si>
  <si>
    <t>Gonpong Farm Road user Group</t>
  </si>
  <si>
    <t>2007-2008</t>
  </si>
  <si>
    <t>Yurung Sonam Yargay Detshen</t>
  </si>
  <si>
    <t>Khangma Saga Detshen</t>
  </si>
  <si>
    <t>Khangma Badam Detshen</t>
  </si>
  <si>
    <t>Khangma Momsey Detshen</t>
  </si>
  <si>
    <t xml:space="preserve"> January, 2018</t>
  </si>
  <si>
    <t>Gangrig Sonam Gongphel Detshen</t>
  </si>
  <si>
    <t xml:space="preserve"> January, 2019</t>
  </si>
  <si>
    <t>Gypkha-Porila Sonam Zhinglam Detshen</t>
  </si>
  <si>
    <t>March, 2017</t>
  </si>
  <si>
    <t>Yuesum Detshen</t>
  </si>
  <si>
    <t>May, 2018</t>
  </si>
  <si>
    <t>Lhawoong Kuenphen Detshen</t>
  </si>
  <si>
    <t>Khangma Khorlam Thsogpa</t>
  </si>
  <si>
    <t>Bainangshing Momtse Tshogpa</t>
  </si>
  <si>
    <t>Lengpey Momtse Tshogpa</t>
  </si>
  <si>
    <t>Zobel Momtse Tsogpa</t>
  </si>
  <si>
    <t>Mann Tsetshey Detshen</t>
  </si>
  <si>
    <t>TshelingkhorTsetshey Detshen</t>
  </si>
  <si>
    <t>Pangthang Tsetshey Detshen</t>
  </si>
  <si>
    <t>PathangdazaTsetshey Detshen</t>
  </si>
  <si>
    <t>Shumar Juk Tsetshey Detshen</t>
  </si>
  <si>
    <t>Resinang Tsetshey Detshen</t>
  </si>
  <si>
    <t>2008-2009</t>
  </si>
  <si>
    <t>Ngangmalang Bachok Tsetshey Detshen</t>
  </si>
  <si>
    <t>Gonpa singma-Ngangmalam</t>
  </si>
  <si>
    <t>2010-2012</t>
  </si>
  <si>
    <t>Ngangshing-Tshelingkhor</t>
  </si>
  <si>
    <t>2009-2010</t>
  </si>
  <si>
    <t>Zobel-Lengpeg</t>
  </si>
  <si>
    <t>2014-2015</t>
  </si>
  <si>
    <t>Ngorkhe-Bainangtshing</t>
  </si>
  <si>
    <t>Source: Livestock, Agriculture &amp; Forestry Sector, Pema Gatshel</t>
  </si>
  <si>
    <t>Sectors/sex</t>
  </si>
  <si>
    <t>Male</t>
  </si>
  <si>
    <t>Female</t>
  </si>
  <si>
    <t>Total</t>
  </si>
  <si>
    <t>Forestry</t>
  </si>
  <si>
    <t>Livestock</t>
  </si>
  <si>
    <t xml:space="preserve">Source: Bhutan RNR Statistics, MoAF &amp; Dzongkhag  RNR Sector, Pema Gatshel </t>
  </si>
  <si>
    <t>Types</t>
  </si>
  <si>
    <t>Cattle</t>
  </si>
  <si>
    <t>Yak</t>
  </si>
  <si>
    <t>Buffalo</t>
  </si>
  <si>
    <t>Zo/Zom</t>
  </si>
  <si>
    <t>Equine</t>
  </si>
  <si>
    <t>Pig</t>
  </si>
  <si>
    <t>Poultry</t>
  </si>
  <si>
    <t>Sheep</t>
  </si>
  <si>
    <t>Goat</t>
  </si>
  <si>
    <t>Cat</t>
  </si>
  <si>
    <t>Dog</t>
  </si>
  <si>
    <t>Livestock products</t>
  </si>
  <si>
    <t>Dried Cheese (Chugu)</t>
  </si>
  <si>
    <t>Honey (liters)</t>
  </si>
  <si>
    <t>Major fruits/Productions</t>
  </si>
  <si>
    <t>Apple</t>
  </si>
  <si>
    <t>Total Trees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</si>
  <si>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</si>
  <si>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</si>
  <si>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</si>
  <si>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</si>
  <si>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</si>
  <si>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</si>
  <si>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</si>
  <si>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</si>
  <si>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</si>
  <si>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</si>
  <si>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</si>
  <si>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</si>
  <si>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Cardamom</t>
  </si>
  <si>
    <t>Area (acres)</t>
  </si>
  <si>
    <t>Yield (Kg/acre)</t>
  </si>
  <si>
    <t>Ginger</t>
  </si>
  <si>
    <t>Potato</t>
  </si>
  <si>
    <t>Chili</t>
  </si>
  <si>
    <t>Cabbage</t>
  </si>
  <si>
    <t>Cauliflower</t>
  </si>
  <si>
    <t>Green Leaves</t>
  </si>
  <si>
    <t>Raddish</t>
  </si>
  <si>
    <t>Cucumber</t>
  </si>
  <si>
    <t>Beans</t>
  </si>
  <si>
    <t>Mustard</t>
  </si>
  <si>
    <t>Soyabean</t>
  </si>
  <si>
    <t>Pumkin, Squash and Gourds</t>
  </si>
  <si>
    <t>Productions/Year</t>
  </si>
  <si>
    <t>Paddy (Irrigated and Upland)</t>
  </si>
  <si>
    <t>Butter (KG)</t>
  </si>
  <si>
    <t>Cheese (KG)</t>
  </si>
  <si>
    <t>Fresh Milk (KG)</t>
  </si>
  <si>
    <t>Eggs (No.)</t>
  </si>
  <si>
    <t>Fish (KG)</t>
  </si>
  <si>
    <t>Beef (KG)</t>
  </si>
  <si>
    <t>Pork (KG)</t>
  </si>
  <si>
    <t>Yak Meat (KG)</t>
  </si>
  <si>
    <t>Mutton (KG)</t>
  </si>
  <si>
    <t>Chicken (KG)</t>
  </si>
  <si>
    <t>Wool (KG)</t>
  </si>
  <si>
    <t>Mithun</t>
  </si>
  <si>
    <t>..</t>
  </si>
  <si>
    <t>….</t>
  </si>
  <si>
    <t>*Extension offices are included under RNR centres.</t>
  </si>
  <si>
    <t>dysfuctional as of now</t>
  </si>
  <si>
    <t>Sl.No</t>
  </si>
  <si>
    <t>Table 5.4: Name of Farmers’ Group, Associations and Cooperatives Registered with DAMC,Pema Gatshel ( 2022)</t>
  </si>
  <si>
    <t>Bamangzore Phuensum CF</t>
  </si>
  <si>
    <t>Chimung Dendrupling CF</t>
  </si>
  <si>
    <t>Chiphung CF</t>
  </si>
  <si>
    <t>Chokhoeling CF</t>
  </si>
  <si>
    <t>Chungkhar community Forest</t>
  </si>
  <si>
    <t>Dagor Phendey Community Forest</t>
  </si>
  <si>
    <t>Dezama Nyamrub CF</t>
  </si>
  <si>
    <t>Dongdongma CF</t>
  </si>
  <si>
    <t>Dunghar Gakiling CF</t>
  </si>
  <si>
    <t>Gamung Dondey Gongphel Community Forest</t>
  </si>
  <si>
    <t>Gashari CF</t>
  </si>
  <si>
    <t>Gayzor Community Forest</t>
  </si>
  <si>
    <t>Gonpung Gakey Community Forest</t>
  </si>
  <si>
    <t>Guyum Chigthuen Phandey CF</t>
  </si>
  <si>
    <t>Khangma Sengchilo Dranam Phendey CF</t>
  </si>
  <si>
    <t>Khar Norbuling Community Forest</t>
  </si>
  <si>
    <t>Kharamree Phendhey CF</t>
  </si>
  <si>
    <t>Khawar Jungzhi Sungchop Community Forest</t>
  </si>
  <si>
    <t>Khenadrang Yencheri CF</t>
  </si>
  <si>
    <t>Kinche CF</t>
  </si>
  <si>
    <t>Kuenzangcholing Community Forest</t>
  </si>
  <si>
    <t>Loongkholom Suwaiwang CF</t>
  </si>
  <si>
    <t>Mandi Yerjay CF</t>
  </si>
  <si>
    <t>Marung  CF</t>
  </si>
  <si>
    <t>Memang Phendhey CF</t>
  </si>
  <si>
    <t>Menchu CF</t>
  </si>
  <si>
    <t>Namdaling CF</t>
  </si>
  <si>
    <t>Nangkhor Kuenphen Community Forest</t>
  </si>
  <si>
    <t>Ngangmalang Rashuri Community Forest</t>
  </si>
  <si>
    <t>Ngashing Phendey Gyalsay Trungkhar CF</t>
  </si>
  <si>
    <t>Nomey Memang CF</t>
  </si>
  <si>
    <t>Nyaskhar Teonchang CF</t>
  </si>
  <si>
    <t>Pangthang Kulung CF</t>
  </si>
  <si>
    <t>Pangthang Norbuling CF</t>
  </si>
  <si>
    <t>Pangthangdaza Shokpo Tsho Community Forest</t>
  </si>
  <si>
    <t>Phuensum Tshogpa CF</t>
  </si>
  <si>
    <t>Puensum Phendey Community Forest</t>
  </si>
  <si>
    <t>Rangjung Community Forest</t>
  </si>
  <si>
    <t>Rezemo CF</t>
  </si>
  <si>
    <t>Samdrup Community Forest</t>
  </si>
  <si>
    <t>Sangaycholing CF</t>
  </si>
  <si>
    <t>Shali-Peldrup Community Forest</t>
  </si>
  <si>
    <t>Shumar Sokpu Denmong Community Forest</t>
  </si>
  <si>
    <t>Tadzong CF</t>
  </si>
  <si>
    <t>Thungo CF</t>
  </si>
  <si>
    <t>Tomey Konang Changmo CF</t>
  </si>
  <si>
    <t>Tsangtseri Thundrel Community Forest</t>
  </si>
  <si>
    <t>Tshelingore Community Forest</t>
  </si>
  <si>
    <t>Tsheshingzore CF</t>
  </si>
  <si>
    <t>Tshogphu Tokarey Community Forest</t>
  </si>
  <si>
    <t>Woligtang Yerjay CF</t>
  </si>
  <si>
    <t>Yangtsho CF</t>
  </si>
  <si>
    <t>Yurung Dranam Phenday Gongphel CF</t>
  </si>
  <si>
    <t>Mogsar Thuendrel CF</t>
  </si>
  <si>
    <t>Bongman NWFP</t>
  </si>
  <si>
    <t>Chimong Gongphel Shingmen Thoenkey Detshen</t>
  </si>
  <si>
    <t>Dagore Shingmen Gongphel Detshen</t>
  </si>
  <si>
    <t>Dezema NWFP Group</t>
  </si>
  <si>
    <t>Gamung NWFP</t>
  </si>
  <si>
    <t>Gashari NWFP Group</t>
  </si>
  <si>
    <t>Gonpung Shingmen Detshen</t>
  </si>
  <si>
    <t>Keroung NWFP Group</t>
  </si>
  <si>
    <t>Khengzor NWFP</t>
  </si>
  <si>
    <t>Labar Chithuen NWFP</t>
  </si>
  <si>
    <t>Menchu pipla/NWFP Group</t>
  </si>
  <si>
    <t>Ngangray NWFP Group</t>
  </si>
  <si>
    <t>Norbugang NWFP Group</t>
  </si>
  <si>
    <t>Tokari Shingmen Detshen</t>
  </si>
  <si>
    <t>Tomi-Zimzore NWFP group</t>
  </si>
  <si>
    <t>Tshelingore NWFP Management and Marketing</t>
  </si>
  <si>
    <t>Wongborang NWFP group</t>
  </si>
  <si>
    <t>Wongchelo Chigthuen Tshogpa</t>
  </si>
  <si>
    <t>Yangmalashing Pipla Group</t>
  </si>
  <si>
    <t>Bartseri Gonor Chithuen Detshen</t>
  </si>
  <si>
    <t>FG/15</t>
  </si>
  <si>
    <t xml:space="preserve">Livestock </t>
  </si>
  <si>
    <t>Yurung Sonam Dang Gonor Gongphel Detshen</t>
  </si>
  <si>
    <t>FG/138</t>
  </si>
  <si>
    <t>Tshebar Gonor Gongphel Detshen</t>
  </si>
  <si>
    <t>FG/150</t>
  </si>
  <si>
    <t>Nanglam Gonor Gongphel Detshen</t>
  </si>
  <si>
    <t>FG/192</t>
  </si>
  <si>
    <t xml:space="preserve">Norboogang Zambala Om Tshogpa </t>
  </si>
  <si>
    <t>FG/450</t>
  </si>
  <si>
    <t>Redzemo Jersey Gongphel Detshen</t>
  </si>
  <si>
    <t>FG/193</t>
  </si>
  <si>
    <t>Tshelingkhor Gonor Chuethen Detshen</t>
  </si>
  <si>
    <t>FG/191</t>
  </si>
  <si>
    <t>Ngangmalang Medoe Om Zojor Detshen</t>
  </si>
  <si>
    <t>FG/447</t>
  </si>
  <si>
    <t>Terda Puensum Gonor Detchen</t>
  </si>
  <si>
    <t>FG/618</t>
  </si>
  <si>
    <t>Tsatsi Dagor Norlhai Detshen</t>
  </si>
  <si>
    <t>FG/659</t>
  </si>
  <si>
    <t>Tokaray Gonor Gongphel Detchen</t>
  </si>
  <si>
    <t>FG/657</t>
  </si>
  <si>
    <r>
      <t>Table 5.5: Farmers' Training Provided by RNR Sectors and DAMC,</t>
    </r>
    <r>
      <rPr>
        <b/>
        <sz val="14"/>
        <color indexed="8"/>
        <rFont val="Calibri Light"/>
        <family val="2"/>
      </rPr>
      <t xml:space="preserve">  Pema Gatshel (2013-2017)</t>
    </r>
  </si>
  <si>
    <t>(Number)</t>
  </si>
  <si>
    <t>*No trainings were provided during the year 2022</t>
  </si>
  <si>
    <t>*1 mt = 1000kg</t>
  </si>
  <si>
    <t>Note: Orchard include oranges, cardamon and any other CC</t>
  </si>
  <si>
    <t>Note: Holder types include Family Ownership,Individual Ownership and Joint Ownership</t>
  </si>
  <si>
    <t>Area covered by irrigation  (acres) include both Dry and Wet Land</t>
  </si>
  <si>
    <t xml:space="preserve">Poultry farms </t>
  </si>
  <si>
    <t xml:space="preserve">Piggery farms </t>
  </si>
  <si>
    <t xml:space="preserve">Fishery farms </t>
  </si>
  <si>
    <t>*Data on Piggery farms , Poultry farm and Fishery farm are based on Individual Household</t>
  </si>
  <si>
    <t>Table 5.2: Agriculture Infrastructures and Other Facilities,  Pema Gatshel (2020-2024)</t>
  </si>
  <si>
    <t>Source:  eSaKor database (Land Statistics 2024)</t>
  </si>
  <si>
    <t>Onion (Bulb and Bunching onion)</t>
  </si>
  <si>
    <t>Source: Integrated Agriculture and Livestock Census of Bhutan 2022 &amp; 2023</t>
  </si>
  <si>
    <t xml:space="preserve">Table 5.7: Livestock Productions, Pema Gatshel (2020-2024) </t>
  </si>
  <si>
    <r>
      <t>Table 5.6: Livestock Population by Types,</t>
    </r>
    <r>
      <rPr>
        <b/>
        <sz val="16"/>
        <color indexed="8"/>
        <rFont val="Calibri Light"/>
        <family val="2"/>
      </rPr>
      <t xml:space="preserve">  Pema Gatshel (2020-2024)</t>
    </r>
  </si>
  <si>
    <t>Source: Integrated Agriculture and Livestock Census of Bhutan 2023 &amp; 2024</t>
  </si>
  <si>
    <t>Table 5.8: Number of Major Fruits and Nuts production, Pema Gatshel  (2020-2024)</t>
  </si>
  <si>
    <t>Table 5.3: Cultivated Area, Production and Yield of Major Crops, Pema Gatshel (2020-2024)</t>
  </si>
  <si>
    <t>Garlic (Include both Garlic Buld &amp; Leave)</t>
  </si>
  <si>
    <r>
      <t xml:space="preserve">Table 5.9: Major Spices &amp; Oilseeds production, </t>
    </r>
    <r>
      <rPr>
        <b/>
        <sz val="12"/>
        <color indexed="8"/>
        <rFont val="Calibri Light"/>
        <family val="2"/>
      </rPr>
      <t xml:space="preserve"> Pema Gatshel (2018-2024)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</si>
</sst>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64" formatCode="_(* #,##0_);_(* \(#,##0\);_(* &quot;-&quot;_);_(@_)"/>
    <numFmt numFmtId="165" formatCode="_(* #,##0.00_);_(* \(#,##0.00\);_(* &quot;-&quot;??_);_(@_)"/>
    <numFmt numFmtId="166" formatCode="0_)"/>
    <numFmt numFmtId="167" formatCode="0.0_)"/>
    <numFmt numFmtId="168" formatCode="0.0"/>
    <numFmt numFmtId="169" formatCode="_(* #,##0_);_(* \(#,##0\);_(* &quot;-&quot;??_);_(@_)"/>
    <numFmt numFmtId="170" formatCode="#,##0.0"/>
    <numFmt numFmtId="171" formatCode="0.000"/>
  </numFmts>
  <fonts count="8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</font>
    <font>
      <sz val="12"/>
      <name val="Calibri Light"/>
      <family val="2"/>
      <scheme val="major"/>
    </font>
    <font>
      <sz val="12"/>
      <color indexed="8"/>
      <name val="Courier New"/>
      <family val="3"/>
    </font>
    <font>
      <sz val="12"/>
      <color rgb="FF000000"/>
      <name val="Calibri Light"/>
      <family val="2"/>
      <scheme val="major"/>
    </font>
    <font>
      <sz val="12"/>
      <color theme="1"/>
      <name val="Courier New"/>
      <family val="3"/>
    </font>
    <font>
      <sz val="12"/>
      <color theme="1"/>
      <name val="Calibri Light"/>
      <family val="2"/>
    </font>
    <font>
      <sz val="12"/>
      <color rgb="FF000000"/>
      <name val="Calibri Light"/>
      <family val="2"/>
    </font>
    <font>
      <sz val="12"/>
      <color rgb="FF000000"/>
      <name val="Times New Roman"/>
      <family val="1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Calibri Light"/>
      <family val="2"/>
    </font>
    <font>
      <b/>
      <sz val="12"/>
      <color rgb="FFFF0000"/>
      <name val="Calibri Light"/>
      <family val="2"/>
      <scheme val="major"/>
    </font>
    <font>
      <b/>
      <sz val="16"/>
      <name val="Calibri Light"/>
      <family val="2"/>
    </font>
    <font>
      <sz val="16"/>
      <color theme="1"/>
      <name val="Calibri Light"/>
      <family val="2"/>
    </font>
    <font>
      <sz val="16"/>
      <color theme="1"/>
      <name val="Calibri"/>
      <family val="2"/>
      <scheme val="minor"/>
    </font>
    <font>
      <sz val="16"/>
      <name val="Calibri Light"/>
      <family val="2"/>
    </font>
    <font>
      <b/>
      <sz val="16"/>
      <color theme="1"/>
      <name val="Calibri light"/>
      <family val="2"/>
    </font>
    <font>
      <b/>
      <sz val="16"/>
      <name val="Calibri"/>
      <family val="2"/>
    </font>
    <font>
      <b/>
      <sz val="16"/>
      <color theme="1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</font>
    <font>
      <sz val="10"/>
      <color indexed="8"/>
      <name val="Calibri Light"/>
      <family val="2"/>
    </font>
    <font>
      <b/>
      <sz val="14"/>
      <name val="Calibri Light"/>
      <family val="2"/>
    </font>
    <font>
      <b/>
      <sz val="14"/>
      <name val="Calibri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sz val="14"/>
      <name val="Calibri Light"/>
      <family val="2"/>
    </font>
    <font>
      <sz val="14"/>
      <color theme="1"/>
      <name val="Calibri Light"/>
      <family val="2"/>
    </font>
    <font>
      <sz val="14"/>
      <color indexed="8"/>
      <name val="Calibri Light"/>
      <family val="2"/>
    </font>
    <font>
      <sz val="14"/>
      <color indexed="8"/>
      <name val="Calibri Light"/>
      <family val="2"/>
      <scheme val="major"/>
    </font>
    <font>
      <sz val="13"/>
      <name val="Calibri Light"/>
      <family val="2"/>
    </font>
    <font>
      <b/>
      <sz val="9"/>
      <color indexed="8"/>
      <name val="Calibri"/>
      <family val="2"/>
    </font>
    <font>
      <b/>
      <sz val="14"/>
      <name val="Calibri Light"/>
      <family val="2"/>
      <scheme val="maj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 Light"/>
      <family val="2"/>
      <scheme val="major"/>
    </font>
    <font>
      <sz val="13"/>
      <color indexed="8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3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6"/>
      <color indexed="8"/>
      <name val="Calibri Light"/>
      <family val="2"/>
    </font>
    <font>
      <b/>
      <sz val="14"/>
      <color indexed="8"/>
      <name val="Calibri Light"/>
      <family val="2"/>
    </font>
    <font>
      <b/>
      <sz val="14"/>
      <color indexed="8"/>
      <name val="Calibri Light"/>
      <family val="2"/>
      <scheme val="major"/>
    </font>
    <font>
      <sz val="14"/>
      <name val="Calibri Light"/>
      <family val="2"/>
      <scheme val="maj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9"/>
      <color rgb="FF000000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 Light"/>
      <family val="2"/>
    </font>
    <font>
      <sz val="11"/>
      <name val="Calibri Light"/>
      <family val="2"/>
    </font>
    <font>
      <i/>
      <sz val="11"/>
      <color theme="1"/>
      <name val="Calibri Light"/>
      <family val="2"/>
    </font>
    <font>
      <sz val="14"/>
      <color theme="1"/>
      <name val="Calibri"/>
      <family val="2"/>
      <scheme val="minor"/>
    </font>
    <font>
      <b/>
      <sz val="14"/>
      <color theme="1"/>
      <name val="Arial Rounded MT Bold"/>
      <family val="2"/>
    </font>
    <font>
      <sz val="16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24" fillId="0" borderId="0"/>
    <xf numFmtId="0" fontId="25" fillId="0" borderId="0"/>
    <xf numFmtId="43" fontId="1" fillId="0" borderId="0" applyFont="0" applyFill="0" applyBorder="0" applyAlignment="0" applyProtection="0"/>
    <xf numFmtId="0" fontId="24" fillId="0" borderId="0"/>
  </cellStyleXfs>
  <cellXfs count="49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1" fillId="0" borderId="0" xfId="0" applyFont="1"/>
    <xf numFmtId="0" fontId="17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3" fillId="0" borderId="5" xfId="0" applyFont="1" applyBorder="1" applyAlignment="1">
      <alignment vertical="center"/>
    </xf>
    <xf numFmtId="165" fontId="13" fillId="2" borderId="5" xfId="4" applyNumberFormat="1" applyFont="1" applyFill="1" applyBorder="1" applyAlignment="1">
      <alignment horizontal="right"/>
    </xf>
    <xf numFmtId="0" fontId="22" fillId="0" borderId="5" xfId="0" applyFont="1" applyBorder="1" applyAlignment="1">
      <alignment vertical="center"/>
    </xf>
    <xf numFmtId="165" fontId="13" fillId="2" borderId="5" xfId="4" applyNumberFormat="1" applyFont="1" applyFill="1" applyBorder="1" applyAlignment="1">
      <alignment horizontal="right" vertical="center"/>
    </xf>
    <xf numFmtId="165" fontId="13" fillId="2" borderId="5" xfId="3" applyNumberFormat="1" applyFont="1" applyFill="1" applyBorder="1" applyAlignment="1">
      <alignment horizontal="right"/>
    </xf>
    <xf numFmtId="168" fontId="22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horizontal="right" vertical="center"/>
    </xf>
    <xf numFmtId="168" fontId="8" fillId="0" borderId="5" xfId="0" applyNumberFormat="1" applyFont="1" applyBorder="1" applyAlignment="1">
      <alignment horizontal="center" vertical="center"/>
    </xf>
    <xf numFmtId="0" fontId="13" fillId="0" borderId="5" xfId="0" applyFont="1" applyBorder="1"/>
    <xf numFmtId="4" fontId="13" fillId="0" borderId="5" xfId="0" applyNumberFormat="1" applyFont="1" applyBorder="1"/>
    <xf numFmtId="165" fontId="13" fillId="2" borderId="5" xfId="0" applyNumberFormat="1" applyFont="1" applyFill="1" applyBorder="1" applyAlignment="1">
      <alignment horizontal="right" vertical="center"/>
    </xf>
    <xf numFmtId="1" fontId="13" fillId="2" borderId="5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 indent="1"/>
    </xf>
    <xf numFmtId="0" fontId="8" fillId="0" borderId="5" xfId="0" applyFont="1" applyBorder="1" applyAlignment="1">
      <alignment horizontal="center" vertical="center"/>
    </xf>
    <xf numFmtId="168" fontId="22" fillId="0" borderId="5" xfId="0" applyNumberFormat="1" applyFont="1" applyBorder="1" applyAlignment="1">
      <alignment horizontal="center" vertical="center"/>
    </xf>
    <xf numFmtId="1" fontId="22" fillId="0" borderId="5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3" fontId="23" fillId="0" borderId="5" xfId="0" applyNumberFormat="1" applyFont="1" applyBorder="1" applyAlignment="1">
      <alignment horizontal="center"/>
    </xf>
    <xf numFmtId="0" fontId="14" fillId="0" borderId="13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0" fillId="0" borderId="0" xfId="0" applyFont="1"/>
    <xf numFmtId="3" fontId="29" fillId="0" borderId="5" xfId="0" applyNumberFormat="1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166" fontId="28" fillId="0" borderId="0" xfId="0" applyNumberFormat="1" applyFont="1" applyAlignment="1">
      <alignment vertical="center" wrapText="1"/>
    </xf>
    <xf numFmtId="1" fontId="28" fillId="0" borderId="0" xfId="1" applyNumberFormat="1" applyFont="1" applyFill="1" applyBorder="1" applyAlignment="1" applyProtection="1">
      <alignment horizontal="right" vertical="center"/>
    </xf>
    <xf numFmtId="3" fontId="32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/>
    <xf numFmtId="0" fontId="40" fillId="0" borderId="5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/>
    </xf>
    <xf numFmtId="0" fontId="41" fillId="0" borderId="5" xfId="0" applyFont="1" applyBorder="1" applyAlignment="1">
      <alignment horizontal="center"/>
    </xf>
    <xf numFmtId="0" fontId="42" fillId="0" borderId="15" xfId="0" applyFont="1" applyBorder="1" applyAlignment="1">
      <alignment horizontal="right" vertical="center"/>
    </xf>
    <xf numFmtId="0" fontId="43" fillId="0" borderId="15" xfId="0" applyFont="1" applyBorder="1" applyAlignment="1">
      <alignment horizontal="right" vertical="center"/>
    </xf>
    <xf numFmtId="0" fontId="44" fillId="0" borderId="8" xfId="0" applyFont="1" applyBorder="1"/>
    <xf numFmtId="0" fontId="45" fillId="0" borderId="13" xfId="0" applyFont="1" applyBorder="1"/>
    <xf numFmtId="0" fontId="42" fillId="0" borderId="8" xfId="0" applyFont="1" applyBorder="1" applyAlignment="1">
      <alignment horizontal="right" vertical="center"/>
    </xf>
    <xf numFmtId="0" fontId="43" fillId="0" borderId="8" xfId="0" applyFont="1" applyBorder="1" applyAlignment="1">
      <alignment horizontal="right" vertical="center"/>
    </xf>
    <xf numFmtId="0" fontId="42" fillId="0" borderId="8" xfId="1" applyNumberFormat="1" applyFont="1" applyFill="1" applyBorder="1" applyAlignment="1">
      <alignment horizontal="right" vertical="center"/>
    </xf>
    <xf numFmtId="0" fontId="43" fillId="0" borderId="8" xfId="1" applyNumberFormat="1" applyFont="1" applyFill="1" applyBorder="1" applyAlignment="1">
      <alignment horizontal="right" vertical="center"/>
    </xf>
    <xf numFmtId="0" fontId="42" fillId="0" borderId="8" xfId="0" applyFont="1" applyBorder="1"/>
    <xf numFmtId="0" fontId="43" fillId="0" borderId="8" xfId="0" applyFont="1" applyBorder="1"/>
    <xf numFmtId="0" fontId="42" fillId="0" borderId="8" xfId="0" applyFont="1" applyBorder="1" applyAlignment="1">
      <alignment horizontal="right"/>
    </xf>
    <xf numFmtId="0" fontId="43" fillId="0" borderId="8" xfId="0" applyFont="1" applyBorder="1" applyAlignment="1">
      <alignment horizontal="right"/>
    </xf>
    <xf numFmtId="0" fontId="42" fillId="0" borderId="10" xfId="0" applyFont="1" applyBorder="1"/>
    <xf numFmtId="0" fontId="43" fillId="0" borderId="10" xfId="0" applyFont="1" applyBorder="1"/>
    <xf numFmtId="0" fontId="44" fillId="0" borderId="10" xfId="0" applyFont="1" applyBorder="1"/>
    <xf numFmtId="0" fontId="45" fillId="0" borderId="14" xfId="0" applyFont="1" applyBorder="1"/>
    <xf numFmtId="0" fontId="46" fillId="0" borderId="6" xfId="0" applyFont="1" applyBorder="1" applyAlignment="1">
      <alignment vertical="center"/>
    </xf>
    <xf numFmtId="0" fontId="46" fillId="0" borderId="3" xfId="0" applyFont="1" applyBorder="1" applyAlignment="1">
      <alignment vertical="center"/>
    </xf>
    <xf numFmtId="0" fontId="46" fillId="0" borderId="3" xfId="0" applyFont="1" applyBorder="1" applyAlignment="1">
      <alignment horizontal="left" vertical="center"/>
    </xf>
    <xf numFmtId="0" fontId="46" fillId="0" borderId="4" xfId="0" applyFont="1" applyBorder="1" applyAlignment="1">
      <alignment horizontal="left" vertical="center"/>
    </xf>
    <xf numFmtId="0" fontId="45" fillId="0" borderId="13" xfId="0" applyFont="1" applyBorder="1" applyAlignment="1">
      <alignment horizontal="right"/>
    </xf>
    <xf numFmtId="167" fontId="13" fillId="0" borderId="25" xfId="2" applyNumberFormat="1" applyFont="1" applyBorder="1" applyAlignment="1">
      <alignment vertical="center"/>
    </xf>
    <xf numFmtId="167" fontId="13" fillId="0" borderId="26" xfId="2" applyNumberFormat="1" applyFont="1" applyBorder="1" applyAlignment="1">
      <alignment vertical="center"/>
    </xf>
    <xf numFmtId="167" fontId="13" fillId="0" borderId="27" xfId="2" applyNumberFormat="1" applyFont="1" applyBorder="1" applyAlignment="1">
      <alignment vertical="center"/>
    </xf>
    <xf numFmtId="0" fontId="12" fillId="0" borderId="16" xfId="0" applyFont="1" applyBorder="1" applyAlignment="1">
      <alignment horizontal="center" vertical="center"/>
    </xf>
    <xf numFmtId="0" fontId="51" fillId="0" borderId="23" xfId="0" applyFont="1" applyBorder="1" applyAlignment="1">
      <alignment vertical="center"/>
    </xf>
    <xf numFmtId="0" fontId="51" fillId="0" borderId="21" xfId="0" applyFont="1" applyBorder="1" applyAlignment="1">
      <alignment vertical="center"/>
    </xf>
    <xf numFmtId="0" fontId="51" fillId="0" borderId="22" xfId="0" applyFont="1" applyBorder="1" applyAlignment="1">
      <alignment vertical="center"/>
    </xf>
    <xf numFmtId="3" fontId="51" fillId="0" borderId="22" xfId="0" applyNumberFormat="1" applyFont="1" applyBorder="1" applyAlignment="1">
      <alignment vertical="center"/>
    </xf>
    <xf numFmtId="1" fontId="51" fillId="0" borderId="21" xfId="0" applyNumberFormat="1" applyFont="1" applyBorder="1" applyAlignment="1">
      <alignment vertical="center"/>
    </xf>
    <xf numFmtId="3" fontId="51" fillId="0" borderId="23" xfId="0" applyNumberFormat="1" applyFont="1" applyBorder="1" applyAlignment="1">
      <alignment vertical="center"/>
    </xf>
    <xf numFmtId="0" fontId="51" fillId="0" borderId="24" xfId="0" applyFont="1" applyBorder="1" applyAlignment="1">
      <alignment vertical="center"/>
    </xf>
    <xf numFmtId="0" fontId="51" fillId="0" borderId="20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52" fillId="0" borderId="23" xfId="0" applyFont="1" applyBorder="1" applyAlignment="1">
      <alignment vertical="center"/>
    </xf>
    <xf numFmtId="0" fontId="52" fillId="0" borderId="21" xfId="0" applyFont="1" applyBorder="1" applyAlignment="1">
      <alignment vertical="center"/>
    </xf>
    <xf numFmtId="1" fontId="52" fillId="0" borderId="22" xfId="0" applyNumberFormat="1" applyFont="1" applyBorder="1" applyAlignment="1">
      <alignment vertical="center"/>
    </xf>
    <xf numFmtId="0" fontId="52" fillId="0" borderId="22" xfId="0" applyFont="1" applyBorder="1" applyAlignment="1">
      <alignment vertical="center"/>
    </xf>
    <xf numFmtId="1" fontId="52" fillId="0" borderId="24" xfId="0" applyNumberFormat="1" applyFont="1" applyBorder="1" applyAlignment="1">
      <alignment vertical="center"/>
    </xf>
    <xf numFmtId="0" fontId="52" fillId="0" borderId="20" xfId="0" applyFont="1" applyBorder="1" applyAlignment="1">
      <alignment vertical="center"/>
    </xf>
    <xf numFmtId="0" fontId="51" fillId="2" borderId="23" xfId="3" applyFont="1" applyFill="1" applyBorder="1" applyAlignment="1">
      <alignment vertical="center"/>
    </xf>
    <xf numFmtId="2" fontId="51" fillId="2" borderId="21" xfId="3" applyNumberFormat="1" applyFont="1" applyFill="1" applyBorder="1"/>
    <xf numFmtId="1" fontId="51" fillId="0" borderId="22" xfId="0" applyNumberFormat="1" applyFont="1" applyBorder="1" applyAlignment="1">
      <alignment vertical="center"/>
    </xf>
    <xf numFmtId="1" fontId="51" fillId="2" borderId="23" xfId="3" applyNumberFormat="1" applyFont="1" applyFill="1" applyBorder="1" applyAlignment="1">
      <alignment vertical="center"/>
    </xf>
    <xf numFmtId="1" fontId="51" fillId="2" borderId="21" xfId="3" applyNumberFormat="1" applyFont="1" applyFill="1" applyBorder="1"/>
    <xf numFmtId="1" fontId="51" fillId="0" borderId="24" xfId="0" applyNumberFormat="1" applyFont="1" applyBorder="1" applyAlignment="1">
      <alignment vertical="center"/>
    </xf>
    <xf numFmtId="165" fontId="51" fillId="2" borderId="23" xfId="3" applyNumberFormat="1" applyFont="1" applyFill="1" applyBorder="1"/>
    <xf numFmtId="165" fontId="51" fillId="2" borderId="21" xfId="3" applyNumberFormat="1" applyFont="1" applyFill="1" applyBorder="1"/>
    <xf numFmtId="169" fontId="51" fillId="2" borderId="21" xfId="3" applyNumberFormat="1" applyFont="1" applyFill="1" applyBorder="1"/>
    <xf numFmtId="168" fontId="51" fillId="0" borderId="21" xfId="0" applyNumberFormat="1" applyFont="1" applyBorder="1" applyAlignment="1">
      <alignment vertical="center"/>
    </xf>
    <xf numFmtId="168" fontId="51" fillId="2" borderId="23" xfId="3" applyNumberFormat="1" applyFont="1" applyFill="1" applyBorder="1"/>
    <xf numFmtId="169" fontId="51" fillId="0" borderId="22" xfId="0" applyNumberFormat="1" applyFont="1" applyBorder="1" applyAlignment="1">
      <alignment vertical="center"/>
    </xf>
    <xf numFmtId="165" fontId="51" fillId="0" borderId="24" xfId="0" applyNumberFormat="1" applyFont="1" applyBorder="1" applyAlignment="1">
      <alignment vertical="center"/>
    </xf>
    <xf numFmtId="165" fontId="51" fillId="2" borderId="20" xfId="3" applyNumberFormat="1" applyFont="1" applyFill="1" applyBorder="1"/>
    <xf numFmtId="0" fontId="56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5" fillId="0" borderId="2" xfId="0" applyFont="1" applyBorder="1" applyAlignment="1">
      <alignment vertical="center"/>
    </xf>
    <xf numFmtId="0" fontId="55" fillId="0" borderId="1" xfId="0" applyFont="1" applyBorder="1" applyAlignment="1">
      <alignment vertical="center"/>
    </xf>
    <xf numFmtId="0" fontId="59" fillId="0" borderId="11" xfId="0" applyFont="1" applyBorder="1" applyAlignment="1">
      <alignment vertical="center"/>
    </xf>
    <xf numFmtId="0" fontId="53" fillId="0" borderId="3" xfId="0" applyFont="1" applyBorder="1" applyAlignment="1">
      <alignment horizontal="right" vertical="center"/>
    </xf>
    <xf numFmtId="0" fontId="53" fillId="0" borderId="0" xfId="0" applyFont="1" applyAlignment="1">
      <alignment horizontal="right" vertical="center"/>
    </xf>
    <xf numFmtId="0" fontId="45" fillId="0" borderId="13" xfId="0" applyFont="1" applyBorder="1" applyAlignment="1">
      <alignment vertical="center"/>
    </xf>
    <xf numFmtId="0" fontId="45" fillId="0" borderId="12" xfId="0" applyFont="1" applyBorder="1" applyAlignment="1">
      <alignment vertical="center"/>
    </xf>
    <xf numFmtId="0" fontId="55" fillId="0" borderId="4" xfId="0" applyFont="1" applyBorder="1" applyAlignment="1">
      <alignment horizontal="right" vertical="center"/>
    </xf>
    <xf numFmtId="0" fontId="55" fillId="0" borderId="9" xfId="0" applyFont="1" applyBorder="1" applyAlignment="1">
      <alignment horizontal="right" vertical="center"/>
    </xf>
    <xf numFmtId="0" fontId="59" fillId="0" borderId="14" xfId="0" applyFont="1" applyBorder="1" applyAlignment="1">
      <alignment vertical="center"/>
    </xf>
    <xf numFmtId="0" fontId="59" fillId="0" borderId="13" xfId="0" applyFont="1" applyBorder="1" applyAlignment="1">
      <alignment vertical="center"/>
    </xf>
    <xf numFmtId="0" fontId="55" fillId="0" borderId="5" xfId="0" applyFont="1" applyBorder="1" applyAlignment="1">
      <alignment vertical="center"/>
    </xf>
    <xf numFmtId="0" fontId="53" fillId="0" borderId="8" xfId="0" applyFont="1" applyBorder="1" applyAlignment="1">
      <alignment horizontal="right" vertical="center"/>
    </xf>
    <xf numFmtId="0" fontId="55" fillId="0" borderId="10" xfId="0" applyFont="1" applyBorder="1" applyAlignment="1">
      <alignment horizontal="right" vertical="center"/>
    </xf>
    <xf numFmtId="0" fontId="53" fillId="0" borderId="6" xfId="0" applyFont="1" applyBorder="1" applyAlignment="1">
      <alignment horizontal="right" vertical="center"/>
    </xf>
    <xf numFmtId="0" fontId="53" fillId="0" borderId="15" xfId="0" applyFont="1" applyBorder="1" applyAlignment="1">
      <alignment horizontal="right" vertical="center"/>
    </xf>
    <xf numFmtId="0" fontId="53" fillId="0" borderId="7" xfId="0" applyFont="1" applyBorder="1" applyAlignment="1">
      <alignment horizontal="right" vertical="center"/>
    </xf>
    <xf numFmtId="0" fontId="55" fillId="0" borderId="8" xfId="0" applyFont="1" applyBorder="1" applyAlignment="1">
      <alignment vertical="center"/>
    </xf>
    <xf numFmtId="0" fontId="53" fillId="0" borderId="8" xfId="0" applyFont="1" applyBorder="1" applyAlignment="1">
      <alignment horizontal="left" vertical="center" indent="1"/>
    </xf>
    <xf numFmtId="0" fontId="55" fillId="0" borderId="10" xfId="0" applyFont="1" applyBorder="1" applyAlignment="1">
      <alignment horizontal="left" vertical="center" indent="1"/>
    </xf>
    <xf numFmtId="0" fontId="61" fillId="0" borderId="16" xfId="0" applyFont="1" applyBorder="1" applyAlignment="1">
      <alignment horizontal="left" vertical="center"/>
    </xf>
    <xf numFmtId="0" fontId="61" fillId="0" borderId="16" xfId="0" applyFont="1" applyBorder="1" applyAlignment="1">
      <alignment horizontal="center" vertical="center"/>
    </xf>
    <xf numFmtId="0" fontId="62" fillId="0" borderId="16" xfId="0" applyFont="1" applyBorder="1" applyAlignment="1">
      <alignment horizontal="center" vertical="center"/>
    </xf>
    <xf numFmtId="0" fontId="61" fillId="0" borderId="28" xfId="0" applyFont="1" applyBorder="1" applyAlignment="1">
      <alignment horizontal="center" vertical="center"/>
    </xf>
    <xf numFmtId="0" fontId="48" fillId="0" borderId="16" xfId="0" applyFont="1" applyBorder="1" applyAlignment="1">
      <alignment horizontal="left" vertical="center"/>
    </xf>
    <xf numFmtId="0" fontId="45" fillId="0" borderId="16" xfId="0" applyFont="1" applyBorder="1" applyAlignment="1">
      <alignment horizontal="right"/>
    </xf>
    <xf numFmtId="164" fontId="53" fillId="2" borderId="16" xfId="3" applyNumberFormat="1" applyFont="1" applyFill="1" applyBorder="1" applyAlignment="1">
      <alignment horizontal="right" indent="2"/>
    </xf>
    <xf numFmtId="164" fontId="53" fillId="2" borderId="16" xfId="3" applyNumberFormat="1" applyFont="1" applyFill="1" applyBorder="1" applyAlignment="1">
      <alignment horizontal="right"/>
    </xf>
    <xf numFmtId="164" fontId="53" fillId="2" borderId="28" xfId="3" applyNumberFormat="1" applyFont="1" applyFill="1" applyBorder="1" applyAlignment="1">
      <alignment horizontal="right"/>
    </xf>
    <xf numFmtId="0" fontId="60" fillId="0" borderId="16" xfId="0" applyFont="1" applyBorder="1" applyAlignment="1">
      <alignment horizontal="right"/>
    </xf>
    <xf numFmtId="0" fontId="60" fillId="0" borderId="28" xfId="0" applyFont="1" applyBorder="1" applyAlignment="1">
      <alignment horizontal="right"/>
    </xf>
    <xf numFmtId="0" fontId="48" fillId="0" borderId="27" xfId="0" applyFont="1" applyBorder="1" applyAlignment="1">
      <alignment horizontal="left" vertical="center"/>
    </xf>
    <xf numFmtId="0" fontId="45" fillId="0" borderId="27" xfId="0" applyFont="1" applyBorder="1" applyAlignment="1">
      <alignment horizontal="right"/>
    </xf>
    <xf numFmtId="0" fontId="60" fillId="0" borderId="27" xfId="0" applyFont="1" applyBorder="1" applyAlignment="1">
      <alignment horizontal="right"/>
    </xf>
    <xf numFmtId="0" fontId="60" fillId="0" borderId="29" xfId="0" applyFont="1" applyBorder="1" applyAlignment="1">
      <alignment horizontal="right"/>
    </xf>
    <xf numFmtId="3" fontId="53" fillId="2" borderId="16" xfId="3" applyNumberFormat="1" applyFont="1" applyFill="1" applyBorder="1" applyAlignment="1">
      <alignment horizontal="right"/>
    </xf>
    <xf numFmtId="0" fontId="60" fillId="0" borderId="27" xfId="0" applyFont="1" applyBorder="1" applyAlignment="1">
      <alignment horizontal="right" vertical="center"/>
    </xf>
    <xf numFmtId="164" fontId="53" fillId="2" borderId="27" xfId="3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  <xf numFmtId="164" fontId="53" fillId="2" borderId="27" xfId="3" applyNumberFormat="1" applyFont="1" applyFill="1" applyBorder="1" applyAlignment="1">
      <alignment horizontal="right" vertical="center"/>
    </xf>
    <xf numFmtId="0" fontId="53" fillId="0" borderId="27" xfId="0" applyFont="1" applyBorder="1" applyAlignment="1">
      <alignment vertical="center"/>
    </xf>
    <xf numFmtId="3" fontId="44" fillId="0" borderId="29" xfId="0" applyNumberFormat="1" applyFont="1" applyBorder="1" applyAlignment="1">
      <alignment vertical="center"/>
    </xf>
    <xf numFmtId="3" fontId="44" fillId="0" borderId="29" xfId="0" applyNumberFormat="1" applyFont="1" applyBorder="1" applyAlignment="1">
      <alignment horizontal="right" vertical="center"/>
    </xf>
    <xf numFmtId="0" fontId="38" fillId="0" borderId="16" xfId="0" applyFont="1" applyBorder="1" applyAlignment="1">
      <alignment horizontal="left" vertical="center"/>
    </xf>
    <xf numFmtId="164" fontId="53" fillId="2" borderId="16" xfId="3" applyNumberFormat="1" applyFont="1" applyFill="1" applyBorder="1" applyAlignment="1">
      <alignment horizontal="right" vertical="center"/>
    </xf>
    <xf numFmtId="3" fontId="44" fillId="0" borderId="28" xfId="0" applyNumberFormat="1" applyFont="1" applyBorder="1" applyAlignment="1">
      <alignment vertical="center"/>
    </xf>
    <xf numFmtId="0" fontId="53" fillId="0" borderId="16" xfId="0" applyFont="1" applyBorder="1" applyAlignment="1">
      <alignment vertical="center"/>
    </xf>
    <xf numFmtId="3" fontId="45" fillId="0" borderId="16" xfId="0" applyNumberFormat="1" applyFont="1" applyBorder="1" applyAlignment="1">
      <alignment horizontal="right" vertical="center"/>
    </xf>
    <xf numFmtId="3" fontId="44" fillId="0" borderId="28" xfId="0" applyNumberFormat="1" applyFont="1" applyBorder="1" applyAlignment="1">
      <alignment horizontal="right" vertical="center"/>
    </xf>
    <xf numFmtId="0" fontId="38" fillId="0" borderId="27" xfId="0" applyFont="1" applyBorder="1" applyAlignment="1">
      <alignment horizontal="left" vertical="center"/>
    </xf>
    <xf numFmtId="0" fontId="63" fillId="0" borderId="16" xfId="0" applyFont="1" applyBorder="1" applyAlignment="1">
      <alignment horizontal="center" vertical="center"/>
    </xf>
    <xf numFmtId="0" fontId="62" fillId="0" borderId="28" xfId="0" applyFont="1" applyBorder="1" applyAlignment="1">
      <alignment horizontal="center" vertical="center"/>
    </xf>
    <xf numFmtId="3" fontId="45" fillId="0" borderId="29" xfId="0" applyNumberFormat="1" applyFont="1" applyBorder="1" applyAlignment="1">
      <alignment horizontal="right" vertical="center"/>
    </xf>
    <xf numFmtId="3" fontId="45" fillId="0" borderId="16" xfId="0" applyNumberFormat="1" applyFont="1" applyBorder="1" applyAlignment="1">
      <alignment vertical="center"/>
    </xf>
    <xf numFmtId="3" fontId="45" fillId="0" borderId="27" xfId="0" applyNumberFormat="1" applyFont="1" applyBorder="1" applyAlignment="1">
      <alignment vertical="center"/>
    </xf>
    <xf numFmtId="0" fontId="64" fillId="0" borderId="5" xfId="0" applyFont="1" applyBorder="1" applyAlignment="1">
      <alignment vertical="center"/>
    </xf>
    <xf numFmtId="1" fontId="65" fillId="2" borderId="5" xfId="4" applyNumberFormat="1" applyFont="1" applyFill="1" applyBorder="1" applyAlignment="1">
      <alignment horizontal="right" vertical="center" wrapText="1"/>
    </xf>
    <xf numFmtId="1" fontId="65" fillId="2" borderId="5" xfId="3" applyNumberFormat="1" applyFont="1" applyFill="1" applyBorder="1" applyAlignment="1">
      <alignment horizontal="right"/>
    </xf>
    <xf numFmtId="0" fontId="65" fillId="0" borderId="5" xfId="0" applyFont="1" applyBorder="1"/>
    <xf numFmtId="165" fontId="65" fillId="2" borderId="5" xfId="4" applyNumberFormat="1" applyFont="1" applyFill="1" applyBorder="1" applyAlignment="1">
      <alignment horizontal="right"/>
    </xf>
    <xf numFmtId="165" fontId="65" fillId="2" borderId="5" xfId="3" applyNumberFormat="1" applyFont="1" applyFill="1" applyBorder="1" applyAlignment="1">
      <alignment horizontal="right"/>
    </xf>
    <xf numFmtId="169" fontId="65" fillId="2" borderId="5" xfId="4" applyNumberFormat="1" applyFont="1" applyFill="1" applyBorder="1" applyAlignment="1">
      <alignment horizontal="right" vertical="center" wrapText="1"/>
    </xf>
    <xf numFmtId="169" fontId="65" fillId="2" borderId="5" xfId="0" applyNumberFormat="1" applyFont="1" applyFill="1" applyBorder="1" applyAlignment="1">
      <alignment horizontal="right"/>
    </xf>
    <xf numFmtId="3" fontId="65" fillId="0" borderId="5" xfId="0" applyNumberFormat="1" applyFont="1" applyBorder="1"/>
    <xf numFmtId="0" fontId="65" fillId="2" borderId="5" xfId="0" applyFont="1" applyFill="1" applyBorder="1" applyAlignment="1">
      <alignment horizontal="right"/>
    </xf>
    <xf numFmtId="169" fontId="64" fillId="0" borderId="5" xfId="0" applyNumberFormat="1" applyFont="1" applyBorder="1" applyAlignment="1">
      <alignment vertical="center" wrapText="1"/>
    </xf>
    <xf numFmtId="165" fontId="65" fillId="2" borderId="5" xfId="0" applyNumberFormat="1" applyFont="1" applyFill="1" applyBorder="1" applyAlignment="1">
      <alignment horizontal="right"/>
    </xf>
    <xf numFmtId="0" fontId="64" fillId="0" borderId="10" xfId="0" applyFont="1" applyBorder="1" applyAlignment="1">
      <alignment vertical="center"/>
    </xf>
    <xf numFmtId="169" fontId="65" fillId="2" borderId="10" xfId="4" applyNumberFormat="1" applyFont="1" applyFill="1" applyBorder="1" applyAlignment="1">
      <alignment horizontal="right" vertical="center" wrapText="1"/>
    </xf>
    <xf numFmtId="0" fontId="65" fillId="0" borderId="10" xfId="0" applyFont="1" applyBorder="1"/>
    <xf numFmtId="0" fontId="66" fillId="0" borderId="5" xfId="0" applyFont="1" applyBorder="1" applyAlignment="1">
      <alignment vertical="center"/>
    </xf>
    <xf numFmtId="1" fontId="31" fillId="0" borderId="5" xfId="1" applyNumberFormat="1" applyFont="1" applyFill="1" applyBorder="1" applyAlignment="1" applyProtection="1">
      <alignment horizontal="center" vertical="center"/>
    </xf>
    <xf numFmtId="0" fontId="39" fillId="0" borderId="0" xfId="0" applyFont="1" applyAlignment="1">
      <alignment horizontal="center"/>
    </xf>
    <xf numFmtId="0" fontId="45" fillId="0" borderId="8" xfId="0" applyFont="1" applyBorder="1"/>
    <xf numFmtId="0" fontId="45" fillId="0" borderId="8" xfId="0" applyFont="1" applyBorder="1" applyAlignment="1">
      <alignment horizontal="right"/>
    </xf>
    <xf numFmtId="0" fontId="45" fillId="0" borderId="10" xfId="0" applyFont="1" applyBorder="1"/>
    <xf numFmtId="0" fontId="12" fillId="0" borderId="30" xfId="0" applyFont="1" applyBorder="1" applyAlignment="1">
      <alignment horizontal="center" vertical="center"/>
    </xf>
    <xf numFmtId="0" fontId="51" fillId="0" borderId="31" xfId="0" applyFont="1" applyBorder="1"/>
    <xf numFmtId="0" fontId="51" fillId="0" borderId="1" xfId="0" applyFont="1" applyBorder="1"/>
    <xf numFmtId="1" fontId="51" fillId="0" borderId="32" xfId="0" applyNumberFormat="1" applyFont="1" applyBorder="1" applyAlignment="1">
      <alignment vertical="center"/>
    </xf>
    <xf numFmtId="0" fontId="51" fillId="0" borderId="9" xfId="0" applyFont="1" applyBorder="1"/>
    <xf numFmtId="165" fontId="51" fillId="2" borderId="9" xfId="3" applyNumberFormat="1" applyFont="1" applyFill="1" applyBorder="1"/>
    <xf numFmtId="1" fontId="51" fillId="0" borderId="1" xfId="0" applyNumberFormat="1" applyFont="1" applyBorder="1" applyAlignment="1">
      <alignment vertical="center"/>
    </xf>
    <xf numFmtId="3" fontId="51" fillId="0" borderId="32" xfId="0" applyNumberFormat="1" applyFont="1" applyBorder="1" applyAlignment="1">
      <alignment vertical="center"/>
    </xf>
    <xf numFmtId="4" fontId="51" fillId="0" borderId="31" xfId="0" applyNumberFormat="1" applyFont="1" applyBorder="1"/>
    <xf numFmtId="0" fontId="13" fillId="0" borderId="23" xfId="0" applyFont="1" applyBorder="1" applyAlignment="1">
      <alignment horizontal="right" vertical="center"/>
    </xf>
    <xf numFmtId="0" fontId="13" fillId="0" borderId="21" xfId="0" applyFont="1" applyBorder="1" applyAlignment="1">
      <alignment horizontal="right" vertical="center"/>
    </xf>
    <xf numFmtId="1" fontId="13" fillId="0" borderId="21" xfId="0" applyNumberFormat="1" applyFont="1" applyBorder="1" applyAlignment="1">
      <alignment horizontal="right" vertical="center"/>
    </xf>
    <xf numFmtId="0" fontId="13" fillId="0" borderId="22" xfId="0" applyFont="1" applyBorder="1" applyAlignment="1">
      <alignment horizontal="right" vertical="center"/>
    </xf>
    <xf numFmtId="3" fontId="13" fillId="0" borderId="24" xfId="0" applyNumberFormat="1" applyFont="1" applyBorder="1" applyAlignment="1">
      <alignment horizontal="right" vertical="center"/>
    </xf>
    <xf numFmtId="3" fontId="13" fillId="0" borderId="22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 vertical="center"/>
    </xf>
    <xf numFmtId="0" fontId="63" fillId="0" borderId="25" xfId="0" applyFont="1" applyBorder="1" applyAlignment="1">
      <alignment horizontal="center" vertical="center"/>
    </xf>
    <xf numFmtId="0" fontId="12" fillId="0" borderId="16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64" fillId="0" borderId="0" xfId="0" applyFont="1" applyAlignment="1">
      <alignment vertical="center"/>
    </xf>
    <xf numFmtId="0" fontId="68" fillId="0" borderId="0" xfId="0" applyFont="1"/>
    <xf numFmtId="2" fontId="13" fillId="0" borderId="20" xfId="0" applyNumberFormat="1" applyFont="1" applyBorder="1" applyAlignment="1">
      <alignment horizontal="right" vertical="center"/>
    </xf>
    <xf numFmtId="0" fontId="70" fillId="0" borderId="0" xfId="0" applyFont="1" applyAlignment="1">
      <alignment horizontal="center" vertical="center"/>
    </xf>
    <xf numFmtId="0" fontId="69" fillId="0" borderId="0" xfId="0" applyFont="1"/>
    <xf numFmtId="0" fontId="72" fillId="0" borderId="0" xfId="0" applyFont="1" applyAlignment="1">
      <alignment horizontal="center" vertical="center"/>
    </xf>
    <xf numFmtId="0" fontId="75" fillId="0" borderId="8" xfId="0" applyFont="1" applyBorder="1" applyAlignment="1">
      <alignment horizontal="center"/>
    </xf>
    <xf numFmtId="0" fontId="74" fillId="0" borderId="13" xfId="0" applyFont="1" applyBorder="1" applyAlignment="1">
      <alignment horizontal="center"/>
    </xf>
    <xf numFmtId="0" fontId="74" fillId="0" borderId="8" xfId="0" applyFont="1" applyBorder="1" applyAlignment="1">
      <alignment horizontal="center"/>
    </xf>
    <xf numFmtId="0" fontId="74" fillId="0" borderId="0" xfId="0" applyFont="1"/>
    <xf numFmtId="0" fontId="76" fillId="0" borderId="0" xfId="0" applyFont="1"/>
    <xf numFmtId="0" fontId="76" fillId="0" borderId="8" xfId="0" applyFont="1" applyBorder="1" applyAlignment="1">
      <alignment horizontal="left" vertical="center"/>
    </xf>
    <xf numFmtId="0" fontId="74" fillId="0" borderId="0" xfId="0" applyFont="1" applyAlignment="1">
      <alignment horizontal="left" vertical="center"/>
    </xf>
    <xf numFmtId="0" fontId="14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7" fillId="0" borderId="0" xfId="0" applyFont="1" applyAlignment="1">
      <alignment vertical="center"/>
    </xf>
    <xf numFmtId="0" fontId="77" fillId="0" borderId="0" xfId="0" applyFont="1"/>
    <xf numFmtId="0" fontId="78" fillId="0" borderId="16" xfId="0" applyFont="1" applyBorder="1" applyAlignment="1">
      <alignment horizontal="center" vertical="center"/>
    </xf>
    <xf numFmtId="0" fontId="0" fillId="0" borderId="8" xfId="0" applyBorder="1"/>
    <xf numFmtId="167" fontId="14" fillId="0" borderId="8" xfId="2" applyNumberFormat="1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/>
    <xf numFmtId="0" fontId="14" fillId="0" borderId="8" xfId="0" applyFont="1" applyBorder="1" applyAlignment="1">
      <alignment horizontal="center"/>
    </xf>
    <xf numFmtId="3" fontId="53" fillId="0" borderId="16" xfId="0" applyNumberFormat="1" applyFont="1" applyBorder="1" applyAlignment="1">
      <alignment vertical="center"/>
    </xf>
    <xf numFmtId="3" fontId="53" fillId="0" borderId="26" xfId="0" applyNumberFormat="1" applyFont="1" applyBorder="1" applyAlignment="1">
      <alignment vertical="center"/>
    </xf>
    <xf numFmtId="4" fontId="53" fillId="0" borderId="27" xfId="0" applyNumberFormat="1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45" fillId="0" borderId="12" xfId="0" applyFont="1" applyBorder="1" applyAlignment="1">
      <alignment horizontal="right" vertical="center"/>
    </xf>
    <xf numFmtId="0" fontId="45" fillId="0" borderId="13" xfId="0" applyFont="1" applyBorder="1" applyAlignment="1">
      <alignment horizontal="right" vertical="center"/>
    </xf>
    <xf numFmtId="0" fontId="59" fillId="0" borderId="14" xfId="0" applyFont="1" applyBorder="1" applyAlignment="1">
      <alignment horizontal="right" vertical="center"/>
    </xf>
    <xf numFmtId="0" fontId="53" fillId="0" borderId="16" xfId="0" applyFont="1" applyBorder="1"/>
    <xf numFmtId="0" fontId="53" fillId="0" borderId="25" xfId="0" applyFont="1" applyBorder="1"/>
    <xf numFmtId="0" fontId="53" fillId="0" borderId="27" xfId="0" applyFont="1" applyBorder="1"/>
    <xf numFmtId="0" fontId="51" fillId="0" borderId="1" xfId="0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3" fillId="0" borderId="34" xfId="0" applyFont="1" applyBorder="1" applyAlignment="1">
      <alignment vertical="center"/>
    </xf>
    <xf numFmtId="0" fontId="33" fillId="0" borderId="35" xfId="0" applyFont="1" applyBorder="1" applyAlignment="1">
      <alignment horizontal="center" vertical="center"/>
    </xf>
    <xf numFmtId="0" fontId="34" fillId="0" borderId="35" xfId="0" applyFont="1" applyBorder="1" applyAlignment="1">
      <alignment horizontal="center" vertical="center"/>
    </xf>
    <xf numFmtId="0" fontId="63" fillId="0" borderId="36" xfId="0" applyFont="1" applyBorder="1" applyAlignment="1">
      <alignment vertical="center"/>
    </xf>
    <xf numFmtId="166" fontId="31" fillId="0" borderId="37" xfId="0" applyNumberFormat="1" applyFont="1" applyBorder="1" applyAlignment="1">
      <alignment vertical="center" wrapText="1"/>
    </xf>
    <xf numFmtId="0" fontId="79" fillId="0" borderId="38" xfId="0" applyFont="1" applyBorder="1" applyAlignment="1">
      <alignment vertical="center"/>
    </xf>
    <xf numFmtId="4" fontId="79" fillId="0" borderId="38" xfId="0" applyNumberFormat="1" applyFont="1" applyBorder="1" applyAlignment="1">
      <alignment vertical="center"/>
    </xf>
    <xf numFmtId="166" fontId="28" fillId="0" borderId="39" xfId="0" applyNumberFormat="1" applyFont="1" applyBorder="1" applyAlignment="1">
      <alignment vertical="center" wrapText="1"/>
    </xf>
    <xf numFmtId="1" fontId="28" fillId="0" borderId="40" xfId="1" applyNumberFormat="1" applyFont="1" applyFill="1" applyBorder="1" applyAlignment="1" applyProtection="1">
      <alignment horizontal="center" vertical="center"/>
    </xf>
    <xf numFmtId="3" fontId="32" fillId="0" borderId="40" xfId="0" applyNumberFormat="1" applyFont="1" applyBorder="1" applyAlignment="1">
      <alignment vertical="center"/>
    </xf>
    <xf numFmtId="4" fontId="32" fillId="0" borderId="40" xfId="0" applyNumberFormat="1" applyFont="1" applyBorder="1" applyAlignment="1">
      <alignment vertical="center"/>
    </xf>
    <xf numFmtId="4" fontId="56" fillId="0" borderId="41" xfId="0" applyNumberFormat="1" applyFont="1" applyBorder="1" applyAlignment="1">
      <alignment vertical="center"/>
    </xf>
    <xf numFmtId="0" fontId="74" fillId="0" borderId="42" xfId="0" applyFont="1" applyBorder="1" applyAlignment="1">
      <alignment horizontal="left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Alignment="1">
      <alignment horizontal="center"/>
    </xf>
    <xf numFmtId="0" fontId="74" fillId="0" borderId="19" xfId="0" applyFont="1" applyBorder="1" applyAlignment="1">
      <alignment horizontal="left" vertical="center"/>
    </xf>
    <xf numFmtId="0" fontId="14" fillId="0" borderId="42" xfId="0" applyFont="1" applyBorder="1" applyAlignment="1">
      <alignment horizontal="left" vertical="center"/>
    </xf>
    <xf numFmtId="0" fontId="14" fillId="0" borderId="43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4" fillId="0" borderId="42" xfId="0" applyFont="1" applyBorder="1" applyAlignment="1">
      <alignment horizontal="left"/>
    </xf>
    <xf numFmtId="0" fontId="14" fillId="0" borderId="43" xfId="0" applyFont="1" applyBorder="1"/>
    <xf numFmtId="0" fontId="14" fillId="0" borderId="44" xfId="0" applyFont="1" applyBorder="1" applyAlignment="1">
      <alignment horizontal="left"/>
    </xf>
    <xf numFmtId="0" fontId="14" fillId="0" borderId="45" xfId="0" applyFont="1" applyBorder="1"/>
    <xf numFmtId="0" fontId="14" fillId="0" borderId="45" xfId="0" applyFont="1" applyBorder="1" applyAlignment="1">
      <alignment horizontal="center"/>
    </xf>
    <xf numFmtId="0" fontId="14" fillId="0" borderId="46" xfId="0" applyFont="1" applyBorder="1"/>
    <xf numFmtId="0" fontId="71" fillId="0" borderId="17" xfId="0" applyFont="1" applyBorder="1" applyAlignment="1">
      <alignment vertical="center"/>
    </xf>
    <xf numFmtId="0" fontId="73" fillId="0" borderId="47" xfId="0" applyFont="1" applyBorder="1" applyAlignment="1">
      <alignment vertical="center"/>
    </xf>
    <xf numFmtId="0" fontId="71" fillId="0" borderId="48" xfId="0" applyFont="1" applyBorder="1" applyAlignment="1">
      <alignment horizontal="center" vertical="center"/>
    </xf>
    <xf numFmtId="0" fontId="71" fillId="0" borderId="47" xfId="0" applyFont="1" applyBorder="1" applyAlignment="1">
      <alignment horizontal="center" vertical="center"/>
    </xf>
    <xf numFmtId="0" fontId="71" fillId="0" borderId="28" xfId="0" applyFont="1" applyBorder="1" applyAlignment="1">
      <alignment horizontal="center" vertical="center"/>
    </xf>
    <xf numFmtId="167" fontId="12" fillId="0" borderId="0" xfId="2" applyNumberFormat="1" applyFont="1" applyAlignment="1">
      <alignment vertical="center"/>
    </xf>
    <xf numFmtId="0" fontId="64" fillId="0" borderId="38" xfId="0" applyFont="1" applyBorder="1" applyAlignment="1">
      <alignment vertical="center"/>
    </xf>
    <xf numFmtId="0" fontId="66" fillId="0" borderId="38" xfId="0" applyFont="1" applyBorder="1" applyAlignment="1">
      <alignment horizontal="right" vertical="center"/>
    </xf>
    <xf numFmtId="0" fontId="66" fillId="0" borderId="38" xfId="0" applyFont="1" applyBorder="1" applyAlignment="1">
      <alignment vertical="center"/>
    </xf>
    <xf numFmtId="2" fontId="66" fillId="0" borderId="38" xfId="0" applyNumberFormat="1" applyFont="1" applyBorder="1" applyAlignment="1">
      <alignment vertical="center"/>
    </xf>
    <xf numFmtId="1" fontId="64" fillId="0" borderId="40" xfId="0" applyNumberFormat="1" applyFont="1" applyBorder="1" applyAlignment="1">
      <alignment vertical="center"/>
    </xf>
    <xf numFmtId="170" fontId="64" fillId="0" borderId="40" xfId="0" applyNumberFormat="1" applyFont="1" applyBorder="1" applyAlignment="1">
      <alignment vertical="center"/>
    </xf>
    <xf numFmtId="168" fontId="65" fillId="0" borderId="40" xfId="0" applyNumberFormat="1" applyFont="1" applyBorder="1" applyAlignment="1">
      <alignment vertical="center"/>
    </xf>
    <xf numFmtId="1" fontId="65" fillId="0" borderId="40" xfId="0" applyNumberFormat="1" applyFont="1" applyBorder="1" applyAlignment="1">
      <alignment vertical="center"/>
    </xf>
    <xf numFmtId="0" fontId="65" fillId="0" borderId="41" xfId="0" applyFont="1" applyBorder="1" applyAlignment="1">
      <alignment vertical="center"/>
    </xf>
    <xf numFmtId="0" fontId="10" fillId="0" borderId="4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167" fontId="64" fillId="0" borderId="14" xfId="2" applyNumberFormat="1" applyFont="1" applyBorder="1" applyAlignment="1">
      <alignment vertical="center"/>
    </xf>
    <xf numFmtId="167" fontId="64" fillId="0" borderId="11" xfId="2" applyNumberFormat="1" applyFont="1" applyBorder="1" applyAlignment="1">
      <alignment vertical="center"/>
    </xf>
    <xf numFmtId="167" fontId="64" fillId="0" borderId="50" xfId="2" applyNumberFormat="1" applyFont="1" applyBorder="1" applyAlignment="1">
      <alignment vertical="center"/>
    </xf>
    <xf numFmtId="168" fontId="8" fillId="0" borderId="38" xfId="0" applyNumberFormat="1" applyFont="1" applyBorder="1" applyAlignment="1">
      <alignment horizontal="right" vertical="center"/>
    </xf>
    <xf numFmtId="0" fontId="8" fillId="0" borderId="38" xfId="0" applyFont="1" applyBorder="1" applyAlignment="1">
      <alignment horizontal="right" vertical="center"/>
    </xf>
    <xf numFmtId="2" fontId="23" fillId="0" borderId="38" xfId="0" applyNumberFormat="1" applyFont="1" applyBorder="1" applyAlignment="1">
      <alignment horizontal="right"/>
    </xf>
    <xf numFmtId="0" fontId="22" fillId="0" borderId="38" xfId="0" applyFont="1" applyBorder="1" applyAlignment="1">
      <alignment vertical="center"/>
    </xf>
    <xf numFmtId="2" fontId="22" fillId="0" borderId="38" xfId="0" applyNumberFormat="1" applyFont="1" applyBorder="1" applyAlignment="1">
      <alignment vertical="center"/>
    </xf>
    <xf numFmtId="0" fontId="8" fillId="0" borderId="40" xfId="0" applyFont="1" applyBorder="1" applyAlignment="1">
      <alignment horizontal="right" vertical="center"/>
    </xf>
    <xf numFmtId="1" fontId="13" fillId="0" borderId="40" xfId="0" applyNumberFormat="1" applyFont="1" applyBorder="1" applyAlignment="1">
      <alignment vertical="center"/>
    </xf>
    <xf numFmtId="1" fontId="13" fillId="0" borderId="40" xfId="0" applyNumberFormat="1" applyFont="1" applyBorder="1" applyAlignment="1">
      <alignment horizontal="right" vertical="center"/>
    </xf>
    <xf numFmtId="0" fontId="8" fillId="0" borderId="41" xfId="0" applyFont="1" applyBorder="1" applyAlignment="1">
      <alignment horizontal="right" vertical="center"/>
    </xf>
    <xf numFmtId="2" fontId="21" fillId="0" borderId="38" xfId="0" applyNumberFormat="1" applyFont="1" applyBorder="1" applyAlignment="1">
      <alignment vertical="center"/>
    </xf>
    <xf numFmtId="168" fontId="22" fillId="0" borderId="38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13" fillId="2" borderId="10" xfId="4" applyNumberFormat="1" applyFont="1" applyFill="1" applyBorder="1" applyAlignment="1">
      <alignment horizontal="right" vertical="center"/>
    </xf>
    <xf numFmtId="165" fontId="13" fillId="2" borderId="10" xfId="0" applyNumberFormat="1" applyFont="1" applyFill="1" applyBorder="1" applyAlignment="1">
      <alignment horizontal="right" vertical="center"/>
    </xf>
    <xf numFmtId="0" fontId="13" fillId="0" borderId="10" xfId="0" applyFont="1" applyBorder="1"/>
    <xf numFmtId="0" fontId="50" fillId="0" borderId="47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167" fontId="8" fillId="0" borderId="14" xfId="2" applyNumberFormat="1" applyFont="1" applyBorder="1" applyAlignment="1">
      <alignment vertical="center"/>
    </xf>
    <xf numFmtId="167" fontId="8" fillId="0" borderId="11" xfId="2" applyNumberFormat="1" applyFont="1" applyBorder="1" applyAlignment="1">
      <alignment vertical="center"/>
    </xf>
    <xf numFmtId="167" fontId="8" fillId="0" borderId="50" xfId="2" applyNumberFormat="1" applyFont="1" applyBorder="1" applyAlignment="1">
      <alignment vertical="center"/>
    </xf>
    <xf numFmtId="0" fontId="8" fillId="0" borderId="49" xfId="0" applyFont="1" applyBorder="1" applyAlignment="1">
      <alignment horizontal="right" vertical="center"/>
    </xf>
    <xf numFmtId="0" fontId="26" fillId="0" borderId="0" xfId="0" applyFont="1" applyAlignment="1">
      <alignment horizontal="right"/>
    </xf>
    <xf numFmtId="169" fontId="53" fillId="0" borderId="27" xfId="1" applyNumberFormat="1" applyFont="1" applyBorder="1"/>
    <xf numFmtId="169" fontId="65" fillId="2" borderId="10" xfId="0" applyNumberFormat="1" applyFont="1" applyFill="1" applyBorder="1" applyAlignment="1">
      <alignment horizontal="right"/>
    </xf>
    <xf numFmtId="0" fontId="66" fillId="0" borderId="49" xfId="0" applyFont="1" applyBorder="1" applyAlignment="1">
      <alignment horizontal="right" vertical="center"/>
    </xf>
    <xf numFmtId="167" fontId="64" fillId="0" borderId="52" xfId="2" applyNumberFormat="1" applyFont="1" applyBorder="1" applyAlignment="1">
      <alignment vertical="center"/>
    </xf>
    <xf numFmtId="0" fontId="64" fillId="0" borderId="35" xfId="0" applyFont="1" applyBorder="1" applyAlignment="1">
      <alignment vertical="center"/>
    </xf>
    <xf numFmtId="1" fontId="65" fillId="2" borderId="35" xfId="4" applyNumberFormat="1" applyFont="1" applyFill="1" applyBorder="1" applyAlignment="1">
      <alignment horizontal="right" vertical="center" wrapText="1"/>
    </xf>
    <xf numFmtId="1" fontId="65" fillId="2" borderId="35" xfId="3" applyNumberFormat="1" applyFont="1" applyFill="1" applyBorder="1" applyAlignment="1">
      <alignment horizontal="right"/>
    </xf>
    <xf numFmtId="0" fontId="65" fillId="0" borderId="35" xfId="0" applyFont="1" applyBorder="1"/>
    <xf numFmtId="0" fontId="64" fillId="0" borderId="36" xfId="0" applyFont="1" applyBorder="1" applyAlignment="1">
      <alignment vertical="center"/>
    </xf>
    <xf numFmtId="3" fontId="64" fillId="0" borderId="40" xfId="0" applyNumberFormat="1" applyFont="1" applyBorder="1" applyAlignment="1">
      <alignment vertical="center"/>
    </xf>
    <xf numFmtId="0" fontId="64" fillId="0" borderId="41" xfId="0" applyFont="1" applyBorder="1" applyAlignment="1">
      <alignment vertical="center"/>
    </xf>
    <xf numFmtId="169" fontId="65" fillId="2" borderId="35" xfId="4" applyNumberFormat="1" applyFont="1" applyFill="1" applyBorder="1" applyAlignment="1">
      <alignment horizontal="right" vertical="center" wrapText="1"/>
    </xf>
    <xf numFmtId="169" fontId="65" fillId="2" borderId="35" xfId="0" applyNumberFormat="1" applyFont="1" applyFill="1" applyBorder="1" applyAlignment="1">
      <alignment horizontal="right"/>
    </xf>
    <xf numFmtId="3" fontId="65" fillId="0" borderId="35" xfId="0" applyNumberFormat="1" applyFont="1" applyBorder="1"/>
    <xf numFmtId="0" fontId="66" fillId="0" borderId="36" xfId="0" applyFont="1" applyBorder="1" applyAlignment="1">
      <alignment horizontal="right" vertical="center"/>
    </xf>
    <xf numFmtId="1" fontId="66" fillId="0" borderId="40" xfId="0" applyNumberFormat="1" applyFont="1" applyBorder="1" applyAlignment="1">
      <alignment horizontal="right" vertical="center"/>
    </xf>
    <xf numFmtId="0" fontId="66" fillId="0" borderId="41" xfId="0" applyFont="1" applyBorder="1" applyAlignment="1">
      <alignment horizontal="right" vertical="center"/>
    </xf>
    <xf numFmtId="0" fontId="65" fillId="0" borderId="41" xfId="0" applyFont="1" applyBorder="1" applyAlignment="1">
      <alignment horizontal="right" vertical="center"/>
    </xf>
    <xf numFmtId="0" fontId="66" fillId="0" borderId="49" xfId="0" applyFont="1" applyBorder="1" applyAlignment="1">
      <alignment vertical="center"/>
    </xf>
    <xf numFmtId="0" fontId="66" fillId="0" borderId="36" xfId="0" applyFont="1" applyBorder="1" applyAlignment="1">
      <alignment vertical="center"/>
    </xf>
    <xf numFmtId="169" fontId="64" fillId="0" borderId="50" xfId="0" applyNumberFormat="1" applyFont="1" applyBorder="1" applyAlignment="1">
      <alignment vertical="center"/>
    </xf>
    <xf numFmtId="1" fontId="64" fillId="0" borderId="50" xfId="0" applyNumberFormat="1" applyFont="1" applyBorder="1" applyAlignment="1">
      <alignment vertical="center"/>
    </xf>
    <xf numFmtId="1" fontId="65" fillId="2" borderId="35" xfId="0" applyNumberFormat="1" applyFont="1" applyFill="1" applyBorder="1" applyAlignment="1">
      <alignment horizontal="right"/>
    </xf>
    <xf numFmtId="169" fontId="65" fillId="0" borderId="40" xfId="0" applyNumberFormat="1" applyFont="1" applyBorder="1" applyAlignment="1">
      <alignment vertical="center"/>
    </xf>
    <xf numFmtId="169" fontId="66" fillId="0" borderId="36" xfId="1" applyNumberFormat="1" applyFont="1" applyBorder="1" applyAlignment="1">
      <alignment horizontal="right" vertical="center"/>
    </xf>
    <xf numFmtId="169" fontId="66" fillId="0" borderId="38" xfId="1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0" fillId="0" borderId="18" xfId="0" applyFont="1" applyBorder="1" applyAlignment="1">
      <alignment horizontal="right" vertical="center"/>
    </xf>
    <xf numFmtId="0" fontId="64" fillId="0" borderId="36" xfId="0" applyFont="1" applyBorder="1" applyAlignment="1">
      <alignment horizontal="right" vertical="center"/>
    </xf>
    <xf numFmtId="0" fontId="64" fillId="0" borderId="38" xfId="0" applyFont="1" applyBorder="1" applyAlignment="1">
      <alignment horizontal="right" vertical="center"/>
    </xf>
    <xf numFmtId="0" fontId="64" fillId="0" borderId="41" xfId="0" applyFont="1" applyBorder="1" applyAlignment="1">
      <alignment horizontal="right" vertical="center"/>
    </xf>
    <xf numFmtId="167" fontId="8" fillId="0" borderId="52" xfId="2" applyNumberFormat="1" applyFont="1" applyBorder="1" applyAlignment="1">
      <alignment vertical="center"/>
    </xf>
    <xf numFmtId="0" fontId="8" fillId="0" borderId="35" xfId="0" applyFont="1" applyBorder="1" applyAlignment="1">
      <alignment horizontal="center" vertical="center"/>
    </xf>
    <xf numFmtId="0" fontId="13" fillId="0" borderId="35" xfId="0" applyFont="1" applyBorder="1" applyAlignment="1">
      <alignment vertical="center"/>
    </xf>
    <xf numFmtId="165" fontId="13" fillId="2" borderId="35" xfId="4" applyNumberFormat="1" applyFont="1" applyFill="1" applyBorder="1" applyAlignment="1">
      <alignment horizontal="right" vertical="center"/>
    </xf>
    <xf numFmtId="165" fontId="13" fillId="2" borderId="35" xfId="0" applyNumberFormat="1" applyFont="1" applyFill="1" applyBorder="1" applyAlignment="1">
      <alignment horizontal="right" vertical="center"/>
    </xf>
    <xf numFmtId="0" fontId="13" fillId="0" borderId="35" xfId="0" applyFont="1" applyBorder="1"/>
    <xf numFmtId="0" fontId="21" fillId="0" borderId="36" xfId="0" applyFont="1" applyBorder="1" applyAlignment="1">
      <alignment vertical="center"/>
    </xf>
    <xf numFmtId="0" fontId="8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right" vertical="center"/>
    </xf>
    <xf numFmtId="0" fontId="22" fillId="0" borderId="35" xfId="0" applyFont="1" applyBorder="1" applyAlignment="1">
      <alignment horizontal="center" vertical="center"/>
    </xf>
    <xf numFmtId="165" fontId="13" fillId="2" borderId="35" xfId="3" applyNumberFormat="1" applyFont="1" applyFill="1" applyBorder="1" applyAlignment="1">
      <alignment horizontal="right" vertical="center" wrapText="1"/>
    </xf>
    <xf numFmtId="0" fontId="22" fillId="0" borderId="36" xfId="0" applyFont="1" applyBorder="1" applyAlignment="1">
      <alignment vertical="center"/>
    </xf>
    <xf numFmtId="3" fontId="22" fillId="0" borderId="40" xfId="0" applyNumberFormat="1" applyFont="1" applyBorder="1" applyAlignment="1">
      <alignment horizontal="center" vertical="center"/>
    </xf>
    <xf numFmtId="3" fontId="19" fillId="0" borderId="40" xfId="0" applyNumberFormat="1" applyFont="1" applyBorder="1" applyAlignment="1">
      <alignment vertical="center"/>
    </xf>
    <xf numFmtId="3" fontId="22" fillId="0" borderId="41" xfId="0" applyNumberFormat="1" applyFont="1" applyBorder="1" applyAlignment="1">
      <alignment vertical="center"/>
    </xf>
    <xf numFmtId="165" fontId="13" fillId="2" borderId="35" xfId="4" applyNumberFormat="1" applyFont="1" applyFill="1" applyBorder="1" applyAlignment="1">
      <alignment horizontal="right" vertical="center" wrapText="1"/>
    </xf>
    <xf numFmtId="0" fontId="8" fillId="0" borderId="36" xfId="0" applyFont="1" applyBorder="1" applyAlignment="1">
      <alignment horizontal="right" vertical="center"/>
    </xf>
    <xf numFmtId="3" fontId="8" fillId="0" borderId="40" xfId="0" applyNumberFormat="1" applyFont="1" applyBorder="1" applyAlignment="1">
      <alignment horizontal="center" vertical="center"/>
    </xf>
    <xf numFmtId="3" fontId="13" fillId="0" borderId="40" xfId="0" applyNumberFormat="1" applyFont="1" applyBorder="1" applyAlignment="1">
      <alignment horizontal="right" vertical="center"/>
    </xf>
    <xf numFmtId="3" fontId="8" fillId="0" borderId="41" xfId="0" applyNumberFormat="1" applyFont="1" applyBorder="1" applyAlignment="1">
      <alignment horizontal="right" vertical="center"/>
    </xf>
    <xf numFmtId="0" fontId="22" fillId="0" borderId="40" xfId="0" applyFont="1" applyBorder="1" applyAlignment="1">
      <alignment horizontal="center" vertical="center"/>
    </xf>
    <xf numFmtId="1" fontId="19" fillId="0" borderId="40" xfId="0" applyNumberFormat="1" applyFont="1" applyBorder="1" applyAlignment="1">
      <alignment vertical="center"/>
    </xf>
    <xf numFmtId="169" fontId="19" fillId="0" borderId="40" xfId="0" applyNumberFormat="1" applyFont="1" applyBorder="1" applyAlignment="1">
      <alignment vertical="center"/>
    </xf>
    <xf numFmtId="0" fontId="22" fillId="0" borderId="41" xfId="0" applyFont="1" applyBorder="1" applyAlignment="1">
      <alignment vertical="center"/>
    </xf>
    <xf numFmtId="0" fontId="13" fillId="0" borderId="40" xfId="0" applyFont="1" applyBorder="1" applyAlignment="1">
      <alignment horizontal="right" vertical="center"/>
    </xf>
    <xf numFmtId="167" fontId="16" fillId="0" borderId="26" xfId="2" applyNumberFormat="1" applyFont="1" applyBorder="1" applyAlignment="1">
      <alignment horizontal="center" vertical="center" wrapText="1"/>
    </xf>
    <xf numFmtId="167" fontId="8" fillId="0" borderId="13" xfId="2" applyNumberFormat="1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165" fontId="13" fillId="2" borderId="8" xfId="4" applyNumberFormat="1" applyFont="1" applyFill="1" applyBorder="1" applyAlignment="1">
      <alignment horizontal="right" vertical="center"/>
    </xf>
    <xf numFmtId="165" fontId="13" fillId="2" borderId="8" xfId="0" applyNumberFormat="1" applyFont="1" applyFill="1" applyBorder="1" applyAlignment="1">
      <alignment horizontal="right" vertical="center"/>
    </xf>
    <xf numFmtId="0" fontId="19" fillId="0" borderId="8" xfId="0" applyFont="1" applyBorder="1" applyAlignment="1">
      <alignment horizontal="right" vertical="center"/>
    </xf>
    <xf numFmtId="2" fontId="22" fillId="0" borderId="43" xfId="0" applyNumberFormat="1" applyFont="1" applyBorder="1" applyAlignment="1">
      <alignment horizontal="right" vertical="center"/>
    </xf>
    <xf numFmtId="0" fontId="22" fillId="0" borderId="35" xfId="0" applyFont="1" applyBorder="1" applyAlignment="1">
      <alignment vertical="center"/>
    </xf>
    <xf numFmtId="0" fontId="8" fillId="0" borderId="10" xfId="0" applyFont="1" applyBorder="1" applyAlignment="1">
      <alignment horizontal="right" vertical="center"/>
    </xf>
    <xf numFmtId="0" fontId="22" fillId="0" borderId="40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45" fillId="0" borderId="3" xfId="0" applyFont="1" applyBorder="1"/>
    <xf numFmtId="0" fontId="47" fillId="0" borderId="0" xfId="0" applyFont="1"/>
    <xf numFmtId="0" fontId="45" fillId="0" borderId="3" xfId="0" applyFont="1" applyBorder="1" applyAlignment="1">
      <alignment horizontal="right"/>
    </xf>
    <xf numFmtId="0" fontId="45" fillId="0" borderId="4" xfId="0" applyFont="1" applyBorder="1"/>
    <xf numFmtId="0" fontId="9" fillId="0" borderId="0" xfId="0" applyFont="1" applyAlignment="1">
      <alignment vertical="center"/>
    </xf>
    <xf numFmtId="0" fontId="39" fillId="0" borderId="0" xfId="0" applyFont="1"/>
    <xf numFmtId="0" fontId="79" fillId="0" borderId="38" xfId="0" applyFont="1" applyBorder="1" applyAlignment="1">
      <alignment horizontal="center" vertical="center"/>
    </xf>
    <xf numFmtId="169" fontId="66" fillId="3" borderId="36" xfId="1" applyNumberFormat="1" applyFont="1" applyFill="1" applyBorder="1" applyAlignment="1">
      <alignment horizontal="right" vertical="center"/>
    </xf>
    <xf numFmtId="0" fontId="66" fillId="3" borderId="38" xfId="0" applyFont="1" applyFill="1" applyBorder="1" applyAlignment="1">
      <alignment horizontal="right" vertical="center"/>
    </xf>
    <xf numFmtId="0" fontId="65" fillId="3" borderId="41" xfId="0" applyFont="1" applyFill="1" applyBorder="1" applyAlignment="1">
      <alignment horizontal="right" vertical="center"/>
    </xf>
    <xf numFmtId="0" fontId="66" fillId="3" borderId="41" xfId="0" applyFont="1" applyFill="1" applyBorder="1" applyAlignment="1">
      <alignment horizontal="right" vertical="center"/>
    </xf>
    <xf numFmtId="2" fontId="66" fillId="3" borderId="38" xfId="0" applyNumberFormat="1" applyFont="1" applyFill="1" applyBorder="1" applyAlignment="1">
      <alignment horizontal="right" vertical="center"/>
    </xf>
    <xf numFmtId="3" fontId="66" fillId="3" borderId="36" xfId="0" applyNumberFormat="1" applyFont="1" applyFill="1" applyBorder="1" applyAlignment="1">
      <alignment horizontal="right" vertical="center"/>
    </xf>
    <xf numFmtId="0" fontId="64" fillId="3" borderId="41" xfId="0" applyFont="1" applyFill="1" applyBorder="1" applyAlignment="1">
      <alignment horizontal="right" vertical="center"/>
    </xf>
    <xf numFmtId="0" fontId="48" fillId="0" borderId="0" xfId="0" applyFont="1" applyAlignment="1">
      <alignment vertical="center"/>
    </xf>
    <xf numFmtId="0" fontId="13" fillId="3" borderId="20" xfId="0" applyFont="1" applyFill="1" applyBorder="1" applyAlignment="1">
      <alignment horizontal="right" vertical="center"/>
    </xf>
    <xf numFmtId="0" fontId="13" fillId="3" borderId="21" xfId="0" applyFont="1" applyFill="1" applyBorder="1" applyAlignment="1">
      <alignment horizontal="right" vertical="center"/>
    </xf>
    <xf numFmtId="0" fontId="13" fillId="3" borderId="22" xfId="0" applyFont="1" applyFill="1" applyBorder="1" applyAlignment="1">
      <alignment horizontal="right" vertical="center"/>
    </xf>
    <xf numFmtId="0" fontId="13" fillId="3" borderId="23" xfId="0" applyFont="1" applyFill="1" applyBorder="1" applyAlignment="1">
      <alignment horizontal="right" vertical="center"/>
    </xf>
    <xf numFmtId="3" fontId="13" fillId="3" borderId="24" xfId="0" applyNumberFormat="1" applyFont="1" applyFill="1" applyBorder="1" applyAlignment="1">
      <alignment horizontal="right" vertical="center"/>
    </xf>
    <xf numFmtId="169" fontId="13" fillId="3" borderId="21" xfId="1" applyNumberFormat="1" applyFont="1" applyFill="1" applyBorder="1" applyAlignment="1">
      <alignment horizontal="right" vertical="center"/>
    </xf>
    <xf numFmtId="3" fontId="13" fillId="3" borderId="22" xfId="0" applyNumberFormat="1" applyFont="1" applyFill="1" applyBorder="1" applyAlignment="1">
      <alignment horizontal="right" vertical="center"/>
    </xf>
    <xf numFmtId="2" fontId="13" fillId="3" borderId="20" xfId="0" applyNumberFormat="1" applyFont="1" applyFill="1" applyBorder="1" applyAlignment="1">
      <alignment horizontal="right" vertical="center"/>
    </xf>
    <xf numFmtId="3" fontId="13" fillId="3" borderId="21" xfId="0" applyNumberFormat="1" applyFont="1" applyFill="1" applyBorder="1" applyAlignment="1">
      <alignment horizontal="right" vertical="center"/>
    </xf>
    <xf numFmtId="1" fontId="13" fillId="3" borderId="21" xfId="0" applyNumberFormat="1" applyFont="1" applyFill="1" applyBorder="1" applyAlignment="1">
      <alignment horizontal="right" vertical="center"/>
    </xf>
    <xf numFmtId="0" fontId="50" fillId="0" borderId="0" xfId="0" applyFont="1"/>
    <xf numFmtId="0" fontId="10" fillId="0" borderId="0" xfId="0" applyFont="1" applyAlignment="1">
      <alignment horizontal="center" vertical="center"/>
    </xf>
    <xf numFmtId="0" fontId="66" fillId="0" borderId="0" xfId="0" applyFont="1" applyAlignment="1">
      <alignment horizontal="right" vertical="center"/>
    </xf>
    <xf numFmtId="43" fontId="66" fillId="0" borderId="41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168" fontId="8" fillId="0" borderId="0" xfId="0" applyNumberFormat="1" applyFont="1" applyAlignment="1">
      <alignment horizontal="right" vertical="center"/>
    </xf>
    <xf numFmtId="2" fontId="23" fillId="0" borderId="0" xfId="0" applyNumberFormat="1" applyFont="1" applyAlignment="1">
      <alignment horizontal="right"/>
    </xf>
    <xf numFmtId="0" fontId="8" fillId="0" borderId="0" xfId="0" applyFont="1" applyAlignment="1">
      <alignment horizontal="right" vertical="center"/>
    </xf>
    <xf numFmtId="2" fontId="8" fillId="0" borderId="38" xfId="0" applyNumberFormat="1" applyFont="1" applyBorder="1" applyAlignment="1">
      <alignment horizontal="right" vertical="center"/>
    </xf>
    <xf numFmtId="171" fontId="8" fillId="0" borderId="38" xfId="0" applyNumberFormat="1" applyFont="1" applyBorder="1" applyAlignment="1">
      <alignment horizontal="right" vertical="center"/>
    </xf>
    <xf numFmtId="2" fontId="21" fillId="0" borderId="41" xfId="0" applyNumberFormat="1" applyFont="1" applyBorder="1" applyAlignment="1">
      <alignment horizontal="right" vertical="center"/>
    </xf>
    <xf numFmtId="2" fontId="13" fillId="0" borderId="40" xfId="0" applyNumberFormat="1" applyFont="1" applyBorder="1" applyAlignment="1">
      <alignment horizontal="right" vertical="center"/>
    </xf>
    <xf numFmtId="2" fontId="13" fillId="0" borderId="40" xfId="0" applyNumberFormat="1" applyFont="1" applyBorder="1" applyAlignment="1">
      <alignment vertical="center"/>
    </xf>
    <xf numFmtId="171" fontId="13" fillId="3" borderId="22" xfId="0" applyNumberFormat="1" applyFont="1" applyFill="1" applyBorder="1" applyAlignment="1">
      <alignment horizontal="right" vertical="center"/>
    </xf>
    <xf numFmtId="165" fontId="66" fillId="3" borderId="36" xfId="1" applyFont="1" applyFill="1" applyBorder="1" applyAlignment="1">
      <alignment horizontal="right" vertical="center"/>
    </xf>
    <xf numFmtId="167" fontId="64" fillId="3" borderId="50" xfId="2" applyNumberFormat="1" applyFont="1" applyFill="1" applyBorder="1" applyAlignment="1">
      <alignment vertical="center"/>
    </xf>
    <xf numFmtId="1" fontId="64" fillId="3" borderId="40" xfId="0" applyNumberFormat="1" applyFont="1" applyFill="1" applyBorder="1" applyAlignment="1">
      <alignment vertical="center"/>
    </xf>
    <xf numFmtId="3" fontId="64" fillId="3" borderId="40" xfId="0" applyNumberFormat="1" applyFont="1" applyFill="1" applyBorder="1" applyAlignment="1">
      <alignment vertical="center"/>
    </xf>
    <xf numFmtId="169" fontId="66" fillId="3" borderId="40" xfId="0" applyNumberFormat="1" applyFont="1" applyFill="1" applyBorder="1" applyAlignment="1">
      <alignment vertical="center"/>
    </xf>
    <xf numFmtId="1" fontId="66" fillId="3" borderId="40" xfId="0" applyNumberFormat="1" applyFont="1" applyFill="1" applyBorder="1" applyAlignment="1">
      <alignment vertical="center"/>
    </xf>
    <xf numFmtId="0" fontId="66" fillId="3" borderId="41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0" fillId="3" borderId="0" xfId="0" applyFill="1"/>
    <xf numFmtId="167" fontId="64" fillId="3" borderId="11" xfId="2" applyNumberFormat="1" applyFont="1" applyFill="1" applyBorder="1" applyAlignment="1">
      <alignment vertical="center"/>
    </xf>
    <xf numFmtId="0" fontId="64" fillId="3" borderId="5" xfId="0" applyFont="1" applyFill="1" applyBorder="1" applyAlignment="1">
      <alignment vertical="center"/>
    </xf>
    <xf numFmtId="0" fontId="65" fillId="3" borderId="5" xfId="0" applyFont="1" applyFill="1" applyBorder="1"/>
    <xf numFmtId="169" fontId="65" fillId="3" borderId="40" xfId="0" applyNumberFormat="1" applyFont="1" applyFill="1" applyBorder="1" applyAlignment="1">
      <alignment horizontal="right" vertical="center"/>
    </xf>
    <xf numFmtId="1" fontId="65" fillId="3" borderId="40" xfId="0" applyNumberFormat="1" applyFont="1" applyFill="1" applyBorder="1" applyAlignment="1">
      <alignment horizontal="right" vertical="center"/>
    </xf>
    <xf numFmtId="167" fontId="64" fillId="3" borderId="52" xfId="2" applyNumberFormat="1" applyFont="1" applyFill="1" applyBorder="1" applyAlignment="1">
      <alignment vertical="center"/>
    </xf>
    <xf numFmtId="0" fontId="64" fillId="3" borderId="35" xfId="0" applyFont="1" applyFill="1" applyBorder="1" applyAlignment="1">
      <alignment vertical="center"/>
    </xf>
    <xf numFmtId="3" fontId="65" fillId="3" borderId="35" xfId="0" applyNumberFormat="1" applyFont="1" applyFill="1" applyBorder="1"/>
    <xf numFmtId="0" fontId="66" fillId="3" borderId="36" xfId="0" applyFont="1" applyFill="1" applyBorder="1" applyAlignment="1">
      <alignment horizontal="right" vertical="center"/>
    </xf>
    <xf numFmtId="3" fontId="65" fillId="3" borderId="5" xfId="0" applyNumberFormat="1" applyFont="1" applyFill="1" applyBorder="1"/>
    <xf numFmtId="0" fontId="66" fillId="3" borderId="5" xfId="0" applyFont="1" applyFill="1" applyBorder="1" applyAlignment="1">
      <alignment horizontal="right" vertical="center"/>
    </xf>
    <xf numFmtId="0" fontId="66" fillId="3" borderId="36" xfId="0" applyFont="1" applyFill="1" applyBorder="1" applyAlignment="1">
      <alignment vertical="center"/>
    </xf>
    <xf numFmtId="0" fontId="66" fillId="3" borderId="38" xfId="0" applyFont="1" applyFill="1" applyBorder="1" applyAlignment="1">
      <alignment vertical="center"/>
    </xf>
    <xf numFmtId="0" fontId="31" fillId="0" borderId="33" xfId="0" applyFont="1" applyBorder="1" applyAlignment="1">
      <alignment horizontal="right" vertical="center"/>
    </xf>
    <xf numFmtId="1" fontId="31" fillId="0" borderId="5" xfId="1" applyNumberFormat="1" applyFont="1" applyFill="1" applyBorder="1" applyAlignment="1" applyProtection="1">
      <alignment horizontal="center" vertical="center"/>
    </xf>
    <xf numFmtId="167" fontId="33" fillId="0" borderId="0" xfId="2" applyNumberFormat="1" applyFont="1" applyAlignment="1">
      <alignment horizontal="left" vertical="center"/>
    </xf>
    <xf numFmtId="0" fontId="0" fillId="0" borderId="0" xfId="0" applyAlignment="1">
      <alignment horizontal="left"/>
    </xf>
    <xf numFmtId="0" fontId="26" fillId="0" borderId="9" xfId="0" applyFont="1" applyBorder="1" applyAlignment="1">
      <alignment horizontal="right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/>
    </xf>
    <xf numFmtId="167" fontId="54" fillId="0" borderId="20" xfId="2" applyNumberFormat="1" applyFont="1" applyBorder="1" applyAlignment="1">
      <alignment horizontal="left" vertical="center"/>
    </xf>
    <xf numFmtId="167" fontId="54" fillId="0" borderId="21" xfId="2" applyNumberFormat="1" applyFont="1" applyBorder="1" applyAlignment="1">
      <alignment horizontal="left" vertical="center"/>
    </xf>
    <xf numFmtId="167" fontId="54" fillId="0" borderId="22" xfId="2" applyNumberFormat="1" applyFont="1" applyBorder="1" applyAlignment="1">
      <alignment horizontal="left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67" fontId="54" fillId="0" borderId="23" xfId="2" applyNumberFormat="1" applyFont="1" applyBorder="1" applyAlignment="1">
      <alignment horizontal="left" vertical="center"/>
    </xf>
    <xf numFmtId="167" fontId="54" fillId="0" borderId="23" xfId="2" applyNumberFormat="1" applyFont="1" applyBorder="1" applyAlignment="1">
      <alignment horizontal="left" vertical="center" wrapText="1"/>
    </xf>
    <xf numFmtId="167" fontId="54" fillId="0" borderId="21" xfId="2" applyNumberFormat="1" applyFont="1" applyBorder="1" applyAlignment="1">
      <alignment horizontal="left" vertical="center" wrapText="1"/>
    </xf>
    <xf numFmtId="167" fontId="54" fillId="0" borderId="22" xfId="2" applyNumberFormat="1" applyFont="1" applyBorder="1" applyAlignment="1">
      <alignment horizontal="left" vertical="center" wrapText="1"/>
    </xf>
    <xf numFmtId="167" fontId="54" fillId="0" borderId="24" xfId="2" applyNumberFormat="1" applyFont="1" applyBorder="1" applyAlignment="1">
      <alignment horizontal="left" vertical="center"/>
    </xf>
    <xf numFmtId="0" fontId="70" fillId="0" borderId="0" xfId="0" applyFont="1" applyAlignment="1">
      <alignment horizontal="center" vertical="center"/>
    </xf>
    <xf numFmtId="0" fontId="7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 vertical="center" indent="1"/>
    </xf>
    <xf numFmtId="0" fontId="53" fillId="0" borderId="6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10" fillId="0" borderId="33" xfId="0" applyFont="1" applyBorder="1" applyAlignment="1">
      <alignment horizontal="right" vertical="center"/>
    </xf>
    <xf numFmtId="0" fontId="38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167" fontId="67" fillId="0" borderId="23" xfId="2" applyNumberFormat="1" applyFont="1" applyBorder="1" applyAlignment="1">
      <alignment horizontal="center" vertical="center"/>
    </xf>
    <xf numFmtId="167" fontId="67" fillId="0" borderId="21" xfId="2" applyNumberFormat="1" applyFont="1" applyBorder="1" applyAlignment="1">
      <alignment horizontal="center" vertical="center"/>
    </xf>
    <xf numFmtId="167" fontId="67" fillId="0" borderId="22" xfId="2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167" fontId="67" fillId="0" borderId="20" xfId="2" applyNumberFormat="1" applyFont="1" applyBorder="1" applyAlignment="1">
      <alignment horizontal="center" vertical="center"/>
    </xf>
    <xf numFmtId="167" fontId="67" fillId="0" borderId="25" xfId="2" applyNumberFormat="1" applyFont="1" applyBorder="1" applyAlignment="1">
      <alignment horizontal="center" vertical="center"/>
    </xf>
    <xf numFmtId="167" fontId="67" fillId="0" borderId="26" xfId="2" applyNumberFormat="1" applyFont="1" applyBorder="1" applyAlignment="1">
      <alignment horizontal="center" vertical="center"/>
    </xf>
    <xf numFmtId="167" fontId="67" fillId="0" borderId="27" xfId="2" applyNumberFormat="1" applyFont="1" applyBorder="1" applyAlignment="1">
      <alignment horizontal="center" vertical="center"/>
    </xf>
    <xf numFmtId="0" fontId="50" fillId="0" borderId="51" xfId="0" applyFont="1" applyBorder="1" applyAlignment="1">
      <alignment horizontal="center" vertical="center"/>
    </xf>
    <xf numFmtId="168" fontId="13" fillId="0" borderId="35" xfId="0" applyNumberFormat="1" applyFont="1" applyBorder="1" applyAlignment="1">
      <alignment horizontal="right" vertical="center"/>
    </xf>
    <xf numFmtId="168" fontId="13" fillId="0" borderId="40" xfId="0" applyNumberFormat="1" applyFont="1" applyBorder="1" applyAlignment="1">
      <alignment horizontal="right" vertical="center"/>
    </xf>
    <xf numFmtId="2" fontId="8" fillId="0" borderId="36" xfId="0" applyNumberFormat="1" applyFont="1" applyBorder="1" applyAlignment="1">
      <alignment horizontal="center" vertical="center"/>
    </xf>
    <xf numFmtId="2" fontId="8" fillId="0" borderId="41" xfId="0" applyNumberFormat="1" applyFont="1" applyBorder="1" applyAlignment="1">
      <alignment horizontal="center" vertical="center"/>
    </xf>
    <xf numFmtId="167" fontId="16" fillId="0" borderId="23" xfId="2" applyNumberFormat="1" applyFont="1" applyBorder="1" applyAlignment="1">
      <alignment horizontal="center" vertical="center"/>
    </xf>
    <xf numFmtId="167" fontId="16" fillId="0" borderId="21" xfId="2" applyNumberFormat="1" applyFont="1" applyBorder="1" applyAlignment="1">
      <alignment horizontal="center" vertical="center"/>
    </xf>
    <xf numFmtId="167" fontId="16" fillId="0" borderId="22" xfId="2" applyNumberFormat="1" applyFont="1" applyBorder="1" applyAlignment="1">
      <alignment horizontal="center" vertical="center"/>
    </xf>
    <xf numFmtId="167" fontId="16" fillId="0" borderId="20" xfId="2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8" fontId="8" fillId="0" borderId="35" xfId="0" applyNumberFormat="1" applyFont="1" applyBorder="1" applyAlignment="1">
      <alignment horizontal="center" vertical="center"/>
    </xf>
    <xf numFmtId="168" fontId="8" fillId="0" borderId="40" xfId="0" applyNumberFormat="1" applyFont="1" applyBorder="1" applyAlignment="1">
      <alignment horizontal="center" vertical="center"/>
    </xf>
    <xf numFmtId="167" fontId="8" fillId="0" borderId="34" xfId="2" applyNumberFormat="1" applyFont="1" applyBorder="1" applyAlignment="1">
      <alignment horizontal="left" vertical="center"/>
    </xf>
    <xf numFmtId="167" fontId="8" fillId="0" borderId="39" xfId="2" applyNumberFormat="1" applyFont="1" applyBorder="1" applyAlignment="1">
      <alignment horizontal="left" vertical="center"/>
    </xf>
    <xf numFmtId="0" fontId="16" fillId="0" borderId="17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3" fillId="0" borderId="35" xfId="0" applyFont="1" applyBorder="1" applyAlignment="1">
      <alignment horizontal="right" vertical="center"/>
    </xf>
    <xf numFmtId="0" fontId="13" fillId="0" borderId="40" xfId="0" applyFont="1" applyBorder="1" applyAlignment="1">
      <alignment horizontal="right" vertical="center"/>
    </xf>
    <xf numFmtId="165" fontId="13" fillId="2" borderId="35" xfId="3" applyNumberFormat="1" applyFont="1" applyFill="1" applyBorder="1" applyAlignment="1">
      <alignment horizontal="right" vertical="center"/>
    </xf>
    <xf numFmtId="165" fontId="13" fillId="2" borderId="40" xfId="3" applyNumberFormat="1" applyFont="1" applyFill="1" applyBorder="1" applyAlignment="1">
      <alignment horizontal="right" vertical="center"/>
    </xf>
  </cellXfs>
  <cellStyles count="7">
    <cellStyle name="Comma" xfId="1" builtinId="3"/>
    <cellStyle name="Comma 2" xfId="5" xr:uid="{DADC3B50-37B6-43D5-8EF1-92858DFECBF1}"/>
    <cellStyle name="Normal" xfId="0" builtinId="0"/>
    <cellStyle name="Normal 2" xfId="3" xr:uid="{CCF25A2C-C61A-47D9-B528-18BED7C7BD7B}"/>
    <cellStyle name="Normal 3" xfId="4" xr:uid="{8FBB931D-82A7-4E12-AE38-466122BC5A52}"/>
    <cellStyle name="Normal 3 2" xfId="6" xr:uid="{8A5C1A98-0CAF-4292-8470-C0FD3A211070}"/>
    <cellStyle name="Normal_Tab5.6" xfId="2" xr:uid="{417B5FD8-FC7B-41FA-AB89-0D6066C484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"/>
  <sheetViews>
    <sheetView topLeftCell="B4" workbookViewId="0">
      <selection activeCell="F11" sqref="F11"/>
    </sheetView>
  </sheetViews>
  <sheetFormatPr defaultRowHeight="14.5" x14ac:dyDescent="0.35"/>
  <cols>
    <col min="2" max="2" width="32.1796875" customWidth="1"/>
    <col min="3" max="4" width="16.90625" customWidth="1"/>
    <col min="5" max="5" width="16.26953125" customWidth="1"/>
    <col min="6" max="6" width="15.1796875" customWidth="1"/>
    <col min="7" max="7" width="13.7265625" bestFit="1" customWidth="1"/>
  </cols>
  <sheetData>
    <row r="1" spans="2:8" ht="21" x14ac:dyDescent="0.5">
      <c r="B1" s="44" t="s">
        <v>0</v>
      </c>
      <c r="C1" s="45"/>
      <c r="D1" s="46"/>
      <c r="E1" s="46"/>
      <c r="F1" s="37"/>
      <c r="G1" s="37"/>
      <c r="H1" s="37"/>
    </row>
    <row r="2" spans="2:8" ht="34.5" customHeight="1" thickBot="1" x14ac:dyDescent="0.4">
      <c r="B2" s="436" t="s">
        <v>1</v>
      </c>
      <c r="C2" s="436"/>
      <c r="D2" s="436"/>
      <c r="E2" s="436"/>
      <c r="F2" s="436"/>
      <c r="G2" s="436"/>
    </row>
    <row r="3" spans="2:8" ht="41.5" customHeight="1" x14ac:dyDescent="0.35">
      <c r="B3" s="239" t="s">
        <v>2</v>
      </c>
      <c r="C3" s="240">
        <v>2017</v>
      </c>
      <c r="D3" s="241">
        <v>2019</v>
      </c>
      <c r="E3" s="241">
        <v>2021</v>
      </c>
      <c r="F3" s="242">
        <v>2022</v>
      </c>
      <c r="G3" s="242">
        <v>2024</v>
      </c>
    </row>
    <row r="4" spans="2:8" ht="49.5" customHeight="1" x14ac:dyDescent="0.35">
      <c r="B4" s="243" t="s">
        <v>3</v>
      </c>
      <c r="C4" s="178">
        <v>217</v>
      </c>
      <c r="D4" s="38">
        <f>(1/30)*18360</f>
        <v>612</v>
      </c>
      <c r="E4" s="39">
        <v>140.83000000000001</v>
      </c>
      <c r="F4" s="244">
        <v>232.37</v>
      </c>
      <c r="G4" s="381">
        <v>987.83</v>
      </c>
    </row>
    <row r="5" spans="2:8" ht="46.5" customHeight="1" x14ac:dyDescent="0.35">
      <c r="B5" s="243" t="s">
        <v>4</v>
      </c>
      <c r="C5" s="437">
        <v>12061</v>
      </c>
      <c r="D5" s="39">
        <f>(9/30)*18360</f>
        <v>5508</v>
      </c>
      <c r="E5" s="39">
        <v>6640.48</v>
      </c>
      <c r="F5" s="245">
        <v>13570.4</v>
      </c>
      <c r="G5" s="245">
        <v>12250.57</v>
      </c>
    </row>
    <row r="6" spans="2:8" ht="49" customHeight="1" x14ac:dyDescent="0.35">
      <c r="B6" s="243" t="s">
        <v>5</v>
      </c>
      <c r="C6" s="437"/>
      <c r="D6" s="39">
        <f>(12/30)*18360</f>
        <v>7344</v>
      </c>
      <c r="E6" s="39">
        <v>439.89</v>
      </c>
      <c r="F6" s="244">
        <v>1023.51</v>
      </c>
      <c r="G6" s="381">
        <v>421.01</v>
      </c>
    </row>
    <row r="7" spans="2:8" ht="50.5" customHeight="1" thickBot="1" x14ac:dyDescent="0.4">
      <c r="B7" s="246" t="s">
        <v>6</v>
      </c>
      <c r="C7" s="247">
        <v>12278</v>
      </c>
      <c r="D7" s="248">
        <f>SUM(D4:D6)</f>
        <v>13464</v>
      </c>
      <c r="E7" s="249">
        <v>7221.2</v>
      </c>
      <c r="F7" s="250">
        <v>14826.28</v>
      </c>
      <c r="G7" s="250">
        <v>13659.41</v>
      </c>
    </row>
    <row r="8" spans="2:8" ht="22" customHeight="1" x14ac:dyDescent="0.5">
      <c r="B8" s="40"/>
      <c r="C8" s="41"/>
      <c r="D8" s="42"/>
      <c r="E8" s="43"/>
      <c r="F8" s="37"/>
    </row>
    <row r="9" spans="2:8" ht="39.5" customHeight="1" x14ac:dyDescent="0.5">
      <c r="B9" s="438" t="s">
        <v>299</v>
      </c>
      <c r="C9" s="438"/>
      <c r="D9" s="438"/>
      <c r="E9" s="438"/>
      <c r="F9" s="37"/>
    </row>
    <row r="10" spans="2:8" x14ac:dyDescent="0.35">
      <c r="B10" s="439" t="s">
        <v>291</v>
      </c>
      <c r="C10" s="439"/>
      <c r="D10" s="439"/>
      <c r="E10" s="439"/>
    </row>
    <row r="11" spans="2:8" x14ac:dyDescent="0.35">
      <c r="B11" s="439" t="s">
        <v>292</v>
      </c>
      <c r="C11" s="439"/>
      <c r="D11" s="439"/>
      <c r="E11" s="439"/>
    </row>
  </sheetData>
  <mergeCells count="5">
    <mergeCell ref="B2:G2"/>
    <mergeCell ref="C5:C6"/>
    <mergeCell ref="B9:E9"/>
    <mergeCell ref="B10:E10"/>
    <mergeCell ref="B11:E11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EA17-CF00-49B9-B41D-4CB57AFB1DC1}">
  <dimension ref="A1:K21"/>
  <sheetViews>
    <sheetView topLeftCell="A10" workbookViewId="0">
      <selection activeCell="N9" sqref="N9"/>
    </sheetView>
  </sheetViews>
  <sheetFormatPr defaultRowHeight="14.5" x14ac:dyDescent="0.35"/>
  <cols>
    <col min="1" max="1" width="50.453125" customWidth="1"/>
    <col min="2" max="3" width="8.81640625" hidden="1" customWidth="1"/>
    <col min="4" max="4" width="0" hidden="1" customWidth="1"/>
    <col min="5" max="5" width="8.08984375" customWidth="1"/>
    <col min="6" max="9" width="8" customWidth="1"/>
  </cols>
  <sheetData>
    <row r="1" spans="1:11" ht="18.5" x14ac:dyDescent="0.45">
      <c r="A1" s="380" t="s">
        <v>298</v>
      </c>
      <c r="B1" s="380"/>
      <c r="C1" s="380"/>
      <c r="D1" s="380"/>
      <c r="E1" s="380"/>
      <c r="F1" s="380"/>
      <c r="G1" s="179"/>
      <c r="H1" s="179"/>
      <c r="I1" s="179"/>
      <c r="J1" s="2"/>
    </row>
    <row r="2" spans="1:11" ht="15.5" x14ac:dyDescent="0.35">
      <c r="A2" s="1"/>
      <c r="B2" s="440"/>
      <c r="C2" s="440"/>
      <c r="D2" s="440"/>
      <c r="E2" s="440"/>
      <c r="F2" s="440"/>
      <c r="G2" s="440"/>
      <c r="H2" s="306"/>
      <c r="I2" s="306"/>
      <c r="J2" s="2"/>
    </row>
    <row r="3" spans="1:11" ht="15.5" x14ac:dyDescent="0.35">
      <c r="A3" s="48" t="s">
        <v>7</v>
      </c>
      <c r="B3" s="48" t="s">
        <v>8</v>
      </c>
      <c r="C3" s="48" t="s">
        <v>9</v>
      </c>
      <c r="D3" s="48" t="s">
        <v>10</v>
      </c>
      <c r="E3" s="49">
        <v>2020</v>
      </c>
      <c r="F3" s="50">
        <v>2021</v>
      </c>
      <c r="G3" s="50">
        <v>2022</v>
      </c>
      <c r="H3" s="49">
        <v>2023</v>
      </c>
      <c r="I3" s="50">
        <v>2024</v>
      </c>
      <c r="J3" s="3"/>
    </row>
    <row r="4" spans="1:11" ht="26.5" customHeight="1" x14ac:dyDescent="0.45">
      <c r="A4" s="67" t="s">
        <v>11</v>
      </c>
      <c r="B4" s="51">
        <v>0</v>
      </c>
      <c r="C4" s="51">
        <v>0</v>
      </c>
      <c r="D4" s="52">
        <v>0</v>
      </c>
      <c r="E4" s="53">
        <v>11</v>
      </c>
      <c r="F4" s="54">
        <v>11</v>
      </c>
      <c r="G4" s="180">
        <v>11</v>
      </c>
      <c r="H4" s="375">
        <v>11</v>
      </c>
      <c r="I4" s="180">
        <v>11</v>
      </c>
      <c r="J4" s="3"/>
    </row>
    <row r="5" spans="1:11" ht="24" customHeight="1" x14ac:dyDescent="0.45">
      <c r="A5" s="68" t="s">
        <v>12</v>
      </c>
      <c r="B5" s="55">
        <v>11</v>
      </c>
      <c r="C5" s="55">
        <v>11</v>
      </c>
      <c r="D5" s="56">
        <v>11</v>
      </c>
      <c r="E5" s="53">
        <v>2</v>
      </c>
      <c r="F5" s="71" t="s">
        <v>16</v>
      </c>
      <c r="G5" s="181" t="s">
        <v>16</v>
      </c>
      <c r="H5" s="377">
        <v>11</v>
      </c>
      <c r="I5" s="181">
        <v>11</v>
      </c>
      <c r="J5" s="3"/>
    </row>
    <row r="6" spans="1:11" ht="23" customHeight="1" x14ac:dyDescent="0.45">
      <c r="A6" s="68" t="s">
        <v>13</v>
      </c>
      <c r="B6" s="55">
        <v>11</v>
      </c>
      <c r="C6" s="55">
        <v>11</v>
      </c>
      <c r="D6" s="56">
        <v>11</v>
      </c>
      <c r="E6" s="53">
        <v>5</v>
      </c>
      <c r="F6" s="71" t="s">
        <v>16</v>
      </c>
      <c r="G6" s="181" t="s">
        <v>16</v>
      </c>
      <c r="H6" s="377">
        <v>11</v>
      </c>
      <c r="I6" s="181">
        <v>11</v>
      </c>
      <c r="J6" s="3"/>
    </row>
    <row r="7" spans="1:11" ht="23.5" customHeight="1" x14ac:dyDescent="0.45">
      <c r="A7" s="68" t="s">
        <v>294</v>
      </c>
      <c r="B7" s="55">
        <v>28</v>
      </c>
      <c r="C7" s="55">
        <v>30</v>
      </c>
      <c r="D7" s="56">
        <v>30</v>
      </c>
      <c r="E7" s="53"/>
      <c r="F7" s="54">
        <v>5</v>
      </c>
      <c r="G7" s="180">
        <v>27</v>
      </c>
      <c r="H7" s="375">
        <v>14</v>
      </c>
      <c r="I7" s="180">
        <v>14</v>
      </c>
      <c r="J7" s="376"/>
      <c r="K7" s="376"/>
    </row>
    <row r="8" spans="1:11" ht="24" customHeight="1" x14ac:dyDescent="0.45">
      <c r="A8" s="68" t="s">
        <v>296</v>
      </c>
      <c r="B8" s="55">
        <v>3</v>
      </c>
      <c r="C8" s="55">
        <v>3</v>
      </c>
      <c r="D8" s="56">
        <v>3</v>
      </c>
      <c r="E8" s="53">
        <v>3</v>
      </c>
      <c r="F8" s="54">
        <v>3</v>
      </c>
      <c r="G8" s="180">
        <v>2</v>
      </c>
      <c r="H8" s="375">
        <v>3</v>
      </c>
      <c r="I8" s="180">
        <v>3</v>
      </c>
      <c r="J8" s="47"/>
    </row>
    <row r="9" spans="1:11" ht="25.5" customHeight="1" x14ac:dyDescent="0.45">
      <c r="A9" s="68" t="s">
        <v>295</v>
      </c>
      <c r="B9" s="55">
        <v>19</v>
      </c>
      <c r="C9" s="55">
        <v>20</v>
      </c>
      <c r="D9" s="56">
        <v>20</v>
      </c>
      <c r="E9" s="53">
        <v>20</v>
      </c>
      <c r="F9" s="54">
        <v>2</v>
      </c>
      <c r="G9" s="180">
        <v>12</v>
      </c>
      <c r="H9" s="375">
        <v>12</v>
      </c>
      <c r="I9" s="180">
        <v>12</v>
      </c>
      <c r="J9" s="376"/>
      <c r="K9" s="376"/>
    </row>
    <row r="10" spans="1:11" ht="28" customHeight="1" x14ac:dyDescent="0.45">
      <c r="A10" s="69" t="s">
        <v>14</v>
      </c>
      <c r="B10" s="57">
        <v>6</v>
      </c>
      <c r="C10" s="57">
        <v>6</v>
      </c>
      <c r="D10" s="58">
        <v>6</v>
      </c>
      <c r="E10" s="53">
        <v>6</v>
      </c>
      <c r="F10" s="54">
        <v>6</v>
      </c>
      <c r="G10" s="180">
        <v>6</v>
      </c>
      <c r="H10" s="375">
        <v>5</v>
      </c>
      <c r="I10" s="180">
        <v>5</v>
      </c>
      <c r="J10" s="47"/>
    </row>
    <row r="11" spans="1:11" ht="27.5" customHeight="1" x14ac:dyDescent="0.45">
      <c r="A11" s="69" t="s">
        <v>15</v>
      </c>
      <c r="B11" s="57" t="s">
        <v>16</v>
      </c>
      <c r="C11" s="57" t="s">
        <v>16</v>
      </c>
      <c r="D11" s="58" t="s">
        <v>16</v>
      </c>
      <c r="E11" s="53">
        <v>5</v>
      </c>
      <c r="F11" s="54">
        <v>7</v>
      </c>
      <c r="G11" s="180">
        <v>7</v>
      </c>
      <c r="H11" s="375">
        <v>1</v>
      </c>
      <c r="I11" s="180">
        <v>1</v>
      </c>
      <c r="J11" s="47"/>
    </row>
    <row r="12" spans="1:11" ht="26.5" customHeight="1" x14ac:dyDescent="0.45">
      <c r="A12" s="69" t="s">
        <v>17</v>
      </c>
      <c r="B12" s="59">
        <v>12.1</v>
      </c>
      <c r="C12" s="59">
        <v>12.1</v>
      </c>
      <c r="D12" s="60">
        <v>12.1</v>
      </c>
      <c r="E12" s="53">
        <v>12.1</v>
      </c>
      <c r="F12" s="54">
        <v>37.299999999999997</v>
      </c>
      <c r="G12" s="180">
        <v>37.299999999999997</v>
      </c>
      <c r="H12" s="375">
        <v>57.95</v>
      </c>
      <c r="I12" s="180">
        <v>57.95</v>
      </c>
      <c r="J12" s="47"/>
    </row>
    <row r="13" spans="1:11" ht="26.5" customHeight="1" x14ac:dyDescent="0.45">
      <c r="A13" s="69" t="s">
        <v>18</v>
      </c>
      <c r="B13" s="61" t="s">
        <v>16</v>
      </c>
      <c r="C13" s="61" t="s">
        <v>16</v>
      </c>
      <c r="D13" s="62" t="s">
        <v>16</v>
      </c>
      <c r="E13" s="53">
        <v>30.24</v>
      </c>
      <c r="F13" s="54">
        <v>88</v>
      </c>
      <c r="G13" s="180">
        <v>88</v>
      </c>
      <c r="H13" s="375">
        <v>671.6</v>
      </c>
      <c r="I13" s="180">
        <v>671.6</v>
      </c>
      <c r="J13" s="47"/>
    </row>
    <row r="14" spans="1:11" ht="25.5" customHeight="1" x14ac:dyDescent="0.45">
      <c r="A14" s="69" t="s">
        <v>19</v>
      </c>
      <c r="B14" s="61" t="s">
        <v>16</v>
      </c>
      <c r="C14" s="61" t="s">
        <v>16</v>
      </c>
      <c r="D14" s="62" t="s">
        <v>16</v>
      </c>
      <c r="E14" s="53">
        <v>60</v>
      </c>
      <c r="F14" s="54">
        <v>124</v>
      </c>
      <c r="G14" s="180">
        <v>124</v>
      </c>
      <c r="H14" s="375">
        <v>436</v>
      </c>
      <c r="I14" s="180">
        <v>436</v>
      </c>
      <c r="J14" s="2"/>
    </row>
    <row r="15" spans="1:11" ht="28.5" customHeight="1" x14ac:dyDescent="0.45">
      <c r="A15" s="69" t="s">
        <v>20</v>
      </c>
      <c r="B15" s="59">
        <v>1</v>
      </c>
      <c r="C15" s="59">
        <v>1</v>
      </c>
      <c r="D15" s="60">
        <v>1</v>
      </c>
      <c r="E15" s="53">
        <v>4</v>
      </c>
      <c r="F15" s="54">
        <v>2</v>
      </c>
      <c r="G15" s="180">
        <v>2</v>
      </c>
      <c r="H15" s="375">
        <v>2</v>
      </c>
      <c r="I15" s="180">
        <v>2</v>
      </c>
      <c r="J15" s="2"/>
    </row>
    <row r="16" spans="1:11" ht="27.5" customHeight="1" x14ac:dyDescent="0.45">
      <c r="A16" s="69" t="s">
        <v>21</v>
      </c>
      <c r="B16" s="59">
        <v>7</v>
      </c>
      <c r="C16" s="59">
        <v>8</v>
      </c>
      <c r="D16" s="60">
        <v>8</v>
      </c>
      <c r="E16" s="53">
        <v>8</v>
      </c>
      <c r="F16" s="54">
        <v>11</v>
      </c>
      <c r="G16" s="180">
        <v>11</v>
      </c>
      <c r="H16" s="375">
        <v>12</v>
      </c>
      <c r="I16" s="180">
        <v>12</v>
      </c>
      <c r="J16" s="2"/>
    </row>
    <row r="17" spans="1:10" ht="29.5" customHeight="1" x14ac:dyDescent="0.45">
      <c r="A17" s="70" t="s">
        <v>22</v>
      </c>
      <c r="B17" s="63">
        <v>52</v>
      </c>
      <c r="C17" s="63">
        <v>52</v>
      </c>
      <c r="D17" s="64">
        <v>52</v>
      </c>
      <c r="E17" s="65">
        <v>84</v>
      </c>
      <c r="F17" s="66">
        <v>52</v>
      </c>
      <c r="G17" s="182">
        <v>52</v>
      </c>
      <c r="H17" s="378">
        <v>114</v>
      </c>
      <c r="I17" s="182">
        <v>114</v>
      </c>
      <c r="J17" s="2"/>
    </row>
    <row r="18" spans="1:10" ht="18.5" customHeight="1" x14ac:dyDescent="0.35">
      <c r="A18" s="374" t="s">
        <v>293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 ht="15.5" x14ac:dyDescent="0.35">
      <c r="A19" s="36" t="s">
        <v>187</v>
      </c>
    </row>
    <row r="20" spans="1:10" ht="15.5" x14ac:dyDescent="0.35">
      <c r="A20" s="379" t="s">
        <v>297</v>
      </c>
      <c r="B20" s="379"/>
      <c r="C20" s="379"/>
      <c r="D20" s="379"/>
      <c r="E20" s="379"/>
      <c r="F20" s="379"/>
      <c r="H20" s="216"/>
    </row>
    <row r="21" spans="1:10" ht="23.5" customHeight="1" x14ac:dyDescent="0.35">
      <c r="A21" s="228" t="s">
        <v>23</v>
      </c>
    </row>
  </sheetData>
  <mergeCells count="1">
    <mergeCell ref="B2:G2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8278D-7E74-4B75-8E5F-369D399A76AA}">
  <dimension ref="A1:K21"/>
  <sheetViews>
    <sheetView workbookViewId="0">
      <pane ySplit="1" topLeftCell="A2" activePane="bottomLeft" state="frozen"/>
      <selection pane="bottomLeft" activeCell="I11" sqref="I11"/>
    </sheetView>
  </sheetViews>
  <sheetFormatPr defaultRowHeight="14.5" x14ac:dyDescent="0.35"/>
  <cols>
    <col min="1" max="1" width="25.54296875" customWidth="1"/>
    <col min="2" max="2" width="17.54296875" customWidth="1"/>
    <col min="3" max="3" width="11" hidden="1" customWidth="1"/>
    <col min="4" max="5" width="11.36328125" hidden="1" customWidth="1"/>
    <col min="6" max="6" width="15.1796875" customWidth="1"/>
    <col min="7" max="7" width="12.08984375" customWidth="1"/>
    <col min="8" max="8" width="12.453125" style="201" customWidth="1"/>
    <col min="9" max="9" width="14" customWidth="1"/>
    <col min="10" max="10" width="12.7265625" customWidth="1"/>
  </cols>
  <sheetData>
    <row r="1" spans="1:11" ht="19" thickBot="1" x14ac:dyDescent="0.4">
      <c r="A1" s="441" t="s">
        <v>306</v>
      </c>
      <c r="B1" s="441"/>
      <c r="C1" s="441"/>
      <c r="D1" s="441"/>
      <c r="E1" s="441"/>
      <c r="F1" s="441"/>
      <c r="G1" s="441"/>
      <c r="H1" s="441"/>
      <c r="I1" s="441"/>
      <c r="J1" s="5"/>
      <c r="K1" s="5"/>
    </row>
    <row r="2" spans="1:11" ht="16" thickBot="1" x14ac:dyDescent="0.4">
      <c r="A2" s="446" t="s">
        <v>24</v>
      </c>
      <c r="B2" s="447"/>
      <c r="C2" s="75">
        <v>2017</v>
      </c>
      <c r="D2" s="84">
        <v>2018</v>
      </c>
      <c r="E2" s="75">
        <v>2019</v>
      </c>
      <c r="F2" s="75">
        <v>2020</v>
      </c>
      <c r="G2" s="183">
        <v>2021</v>
      </c>
      <c r="H2" s="200">
        <v>2022</v>
      </c>
      <c r="I2" s="200">
        <v>2023</v>
      </c>
      <c r="J2" s="200">
        <v>2024</v>
      </c>
      <c r="K2" s="5"/>
    </row>
    <row r="3" spans="1:11" ht="23" customHeight="1" x14ac:dyDescent="0.4">
      <c r="A3" s="443" t="s">
        <v>25</v>
      </c>
      <c r="B3" s="72" t="s">
        <v>26</v>
      </c>
      <c r="C3" s="76">
        <v>37</v>
      </c>
      <c r="D3" s="85">
        <v>47.58</v>
      </c>
      <c r="E3" s="91">
        <v>9.51</v>
      </c>
      <c r="F3" s="97">
        <v>13.771286399999999</v>
      </c>
      <c r="G3" s="184">
        <v>5.04</v>
      </c>
      <c r="H3" s="198">
        <v>4.6500000000000004</v>
      </c>
      <c r="I3" s="390">
        <v>3.76</v>
      </c>
      <c r="J3" s="390">
        <v>1.21</v>
      </c>
      <c r="K3" s="5"/>
    </row>
    <row r="4" spans="1:11" ht="22.5" customHeight="1" x14ac:dyDescent="0.4">
      <c r="A4" s="444"/>
      <c r="B4" s="73" t="s">
        <v>27</v>
      </c>
      <c r="C4" s="77">
        <v>31000</v>
      </c>
      <c r="D4" s="86">
        <f>30.54*1000</f>
        <v>30540</v>
      </c>
      <c r="E4" s="92">
        <f>3.63515*1000</f>
        <v>3635.15</v>
      </c>
      <c r="F4" s="98">
        <f>6.61524493*1000</f>
        <v>6615.2449299999998</v>
      </c>
      <c r="G4" s="185">
        <f>3.04*1000</f>
        <v>3040</v>
      </c>
      <c r="H4" s="193">
        <v>2480</v>
      </c>
      <c r="I4" s="391">
        <v>1393</v>
      </c>
      <c r="J4" s="391">
        <v>374</v>
      </c>
      <c r="K4" s="5"/>
    </row>
    <row r="5" spans="1:11" ht="22.5" customHeight="1" thickBot="1" x14ac:dyDescent="0.4">
      <c r="A5" s="445"/>
      <c r="B5" s="74" t="s">
        <v>28</v>
      </c>
      <c r="C5" s="78">
        <v>668</v>
      </c>
      <c r="D5" s="87">
        <f>D4/D3</f>
        <v>641.86633039092055</v>
      </c>
      <c r="E5" s="93">
        <f>E4/E3</f>
        <v>382.24500525762357</v>
      </c>
      <c r="F5" s="93">
        <f>F4/F3</f>
        <v>480.36506814642968</v>
      </c>
      <c r="G5" s="186">
        <f>G4/G3</f>
        <v>603.17460317460313</v>
      </c>
      <c r="H5" s="195">
        <v>533</v>
      </c>
      <c r="I5" s="392">
        <v>370</v>
      </c>
      <c r="J5" s="413">
        <f>J4/J3</f>
        <v>309.09090909090912</v>
      </c>
      <c r="K5" s="5"/>
    </row>
    <row r="6" spans="1:11" ht="19.5" customHeight="1" x14ac:dyDescent="0.4">
      <c r="A6" s="448" t="s">
        <v>29</v>
      </c>
      <c r="B6" s="73" t="s">
        <v>26</v>
      </c>
      <c r="C6" s="76">
        <v>11</v>
      </c>
      <c r="D6" s="85">
        <v>34.659999999999997</v>
      </c>
      <c r="E6" s="76">
        <v>11.4</v>
      </c>
      <c r="F6" s="97">
        <v>8.3572751000000007</v>
      </c>
      <c r="G6" s="187">
        <v>9.5500000000000007</v>
      </c>
      <c r="H6" s="192">
        <v>7.58</v>
      </c>
      <c r="I6" s="393">
        <v>7.58</v>
      </c>
      <c r="J6" s="393">
        <v>10.61</v>
      </c>
      <c r="K6" s="5"/>
    </row>
    <row r="7" spans="1:11" ht="20.5" customHeight="1" x14ac:dyDescent="0.4">
      <c r="A7" s="444"/>
      <c r="B7" s="73" t="s">
        <v>27</v>
      </c>
      <c r="C7" s="77">
        <v>6000</v>
      </c>
      <c r="D7" s="86">
        <f>12.31*1000</f>
        <v>12310</v>
      </c>
      <c r="E7" s="77">
        <f>3.86*1000</f>
        <v>3860</v>
      </c>
      <c r="F7" s="99">
        <f>4.34574316*1000</f>
        <v>4345.74316</v>
      </c>
      <c r="G7" s="185">
        <f>5.17*1000</f>
        <v>5170</v>
      </c>
      <c r="H7" s="193">
        <v>3120</v>
      </c>
      <c r="I7" s="391">
        <v>3405</v>
      </c>
      <c r="J7" s="391">
        <v>3957</v>
      </c>
      <c r="K7" s="5"/>
    </row>
    <row r="8" spans="1:11" ht="21" customHeight="1" thickBot="1" x14ac:dyDescent="0.4">
      <c r="A8" s="445"/>
      <c r="B8" s="74" t="s">
        <v>28</v>
      </c>
      <c r="C8" s="79">
        <v>526</v>
      </c>
      <c r="D8" s="87">
        <f>D7/D6</f>
        <v>355.16445470282753</v>
      </c>
      <c r="E8" s="93">
        <f>E7/E6</f>
        <v>338.59649122807019</v>
      </c>
      <c r="F8" s="93">
        <f>F7/F6</f>
        <v>519.99522667382337</v>
      </c>
      <c r="G8" s="186">
        <f>G7/G6</f>
        <v>541.36125654450257</v>
      </c>
      <c r="H8" s="196">
        <v>434</v>
      </c>
      <c r="I8" s="394">
        <v>449</v>
      </c>
      <c r="J8" s="394">
        <f>J7/J6</f>
        <v>372.95004712535348</v>
      </c>
      <c r="K8" s="5"/>
    </row>
    <row r="9" spans="1:11" ht="24.5" customHeight="1" x14ac:dyDescent="0.4">
      <c r="A9" s="449" t="s">
        <v>172</v>
      </c>
      <c r="B9" s="73" t="s">
        <v>26</v>
      </c>
      <c r="C9" s="76">
        <v>28</v>
      </c>
      <c r="D9" s="85">
        <f>27.13+11.43</f>
        <v>38.56</v>
      </c>
      <c r="E9" s="76">
        <f>27.26+14.41</f>
        <v>41.67</v>
      </c>
      <c r="F9" s="97">
        <f>26.9448796+9</f>
        <v>35.9448796</v>
      </c>
      <c r="G9" s="188">
        <f>6.43+8.3</f>
        <v>14.73</v>
      </c>
      <c r="H9" s="198">
        <v>27.05</v>
      </c>
      <c r="I9" s="390">
        <v>43.11</v>
      </c>
      <c r="J9" s="390">
        <v>30.76</v>
      </c>
      <c r="K9" s="5"/>
    </row>
    <row r="10" spans="1:11" ht="22" customHeight="1" x14ac:dyDescent="0.35">
      <c r="A10" s="450"/>
      <c r="B10" s="73" t="s">
        <v>27</v>
      </c>
      <c r="C10" s="80">
        <v>41000</v>
      </c>
      <c r="D10" s="86">
        <f>(31.74+5.27)*1000</f>
        <v>37010</v>
      </c>
      <c r="E10" s="77">
        <f>(32.62+3.97)*1000</f>
        <v>36589.999999999993</v>
      </c>
      <c r="F10" s="100">
        <f>(37.7+ 5.17)*1000</f>
        <v>42870.000000000007</v>
      </c>
      <c r="G10" s="189">
        <f>(1.43+7.84)*1000</f>
        <v>9270</v>
      </c>
      <c r="H10" s="194">
        <v>33090</v>
      </c>
      <c r="I10" s="395">
        <v>50055</v>
      </c>
      <c r="J10" s="395">
        <v>51251</v>
      </c>
      <c r="K10" s="5"/>
    </row>
    <row r="11" spans="1:11" ht="21.5" customHeight="1" thickBot="1" x14ac:dyDescent="0.4">
      <c r="A11" s="451"/>
      <c r="B11" s="74" t="s">
        <v>28</v>
      </c>
      <c r="C11" s="79">
        <v>1464</v>
      </c>
      <c r="D11" s="87">
        <f>D10/D9</f>
        <v>959.80290456431533</v>
      </c>
      <c r="E11" s="93">
        <f>E10/E9</f>
        <v>878.08975281977416</v>
      </c>
      <c r="F11" s="79">
        <f>F10/F9</f>
        <v>1192.6594407065425</v>
      </c>
      <c r="G11" s="190">
        <f>G10/G9</f>
        <v>629.3279022403259</v>
      </c>
      <c r="H11" s="197">
        <v>1223</v>
      </c>
      <c r="I11" s="396">
        <f>I10/I9</f>
        <v>1161.0995128740431</v>
      </c>
      <c r="J11" s="396">
        <f>J10/J9</f>
        <v>1666.1573472041612</v>
      </c>
      <c r="K11" s="237"/>
    </row>
    <row r="12" spans="1:11" ht="24" customHeight="1" x14ac:dyDescent="0.4">
      <c r="A12" s="448" t="s">
        <v>30</v>
      </c>
      <c r="B12" s="73" t="s">
        <v>26</v>
      </c>
      <c r="C12" s="81">
        <v>3964</v>
      </c>
      <c r="D12" s="85">
        <v>2692</v>
      </c>
      <c r="E12" s="94">
        <v>2662.5692079207925</v>
      </c>
      <c r="F12" s="101">
        <v>2165.57140214221</v>
      </c>
      <c r="G12" s="191">
        <v>1550.32</v>
      </c>
      <c r="H12" s="204">
        <v>1246.78</v>
      </c>
      <c r="I12" s="397">
        <v>967.36</v>
      </c>
      <c r="J12" s="397">
        <v>1069.94</v>
      </c>
      <c r="K12" s="5"/>
    </row>
    <row r="13" spans="1:11" ht="23" customHeight="1" x14ac:dyDescent="0.4">
      <c r="A13" s="444"/>
      <c r="B13" s="73" t="s">
        <v>27</v>
      </c>
      <c r="C13" s="77">
        <v>4361000</v>
      </c>
      <c r="D13" s="86">
        <f>4554.87*1000</f>
        <v>4554870</v>
      </c>
      <c r="E13" s="95">
        <f>4407.50927085039*1000</f>
        <v>4407509.2708503902</v>
      </c>
      <c r="F13" s="99">
        <f>3436.33563528653*1000</f>
        <v>3436335.63528653</v>
      </c>
      <c r="G13" s="236">
        <f>4204.51*1000</f>
        <v>4204510</v>
      </c>
      <c r="H13" s="193">
        <v>2005020</v>
      </c>
      <c r="I13" s="398">
        <v>1404976</v>
      </c>
      <c r="J13" s="398">
        <v>1630229</v>
      </c>
      <c r="K13" s="5"/>
    </row>
    <row r="14" spans="1:11" ht="22" customHeight="1" thickBot="1" x14ac:dyDescent="0.4">
      <c r="A14" s="445"/>
      <c r="B14" s="74" t="s">
        <v>28</v>
      </c>
      <c r="C14" s="79">
        <v>1100</v>
      </c>
      <c r="D14" s="88">
        <f>D13/D12</f>
        <v>1692.0022288261516</v>
      </c>
      <c r="E14" s="93">
        <f>E13/E12</f>
        <v>1655.3595143137054</v>
      </c>
      <c r="F14" s="102">
        <f>F13/F12</f>
        <v>1586.8032020958831</v>
      </c>
      <c r="G14" s="186">
        <f>G13/G12</f>
        <v>2712.0271943856751</v>
      </c>
      <c r="H14" s="197">
        <v>1608</v>
      </c>
      <c r="I14" s="396">
        <v>1452</v>
      </c>
      <c r="J14" s="396">
        <f>J13/J12</f>
        <v>1523.663943772548</v>
      </c>
      <c r="K14" s="5"/>
    </row>
    <row r="15" spans="1:11" ht="23.5" customHeight="1" x14ac:dyDescent="0.4">
      <c r="A15" s="448" t="s">
        <v>31</v>
      </c>
      <c r="B15" s="73" t="s">
        <v>26</v>
      </c>
      <c r="C15" s="76">
        <v>265</v>
      </c>
      <c r="D15" s="85">
        <v>176.64</v>
      </c>
      <c r="E15" s="76">
        <v>152.44</v>
      </c>
      <c r="F15" s="97">
        <v>168.16507250000001</v>
      </c>
      <c r="G15" s="187">
        <v>77.92</v>
      </c>
      <c r="H15" s="198">
        <v>68.290000000000006</v>
      </c>
      <c r="I15" s="390">
        <v>84.09</v>
      </c>
      <c r="J15" s="390">
        <v>73.89</v>
      </c>
      <c r="K15" s="5"/>
    </row>
    <row r="16" spans="1:11" ht="22" customHeight="1" x14ac:dyDescent="0.4">
      <c r="A16" s="444"/>
      <c r="B16" s="73" t="s">
        <v>27</v>
      </c>
      <c r="C16" s="80">
        <v>62000</v>
      </c>
      <c r="D16" s="86">
        <f>76.78*1000</f>
        <v>76780</v>
      </c>
      <c r="E16" s="77">
        <f>54.44*1000</f>
        <v>54440</v>
      </c>
      <c r="F16" s="80">
        <f xml:space="preserve"> 61.1*1000</f>
        <v>61100</v>
      </c>
      <c r="G16" s="185">
        <f>47.37*1000</f>
        <v>47370</v>
      </c>
      <c r="H16" s="194">
        <v>27920</v>
      </c>
      <c r="I16" s="399">
        <v>30890</v>
      </c>
      <c r="J16" s="399">
        <v>25635</v>
      </c>
      <c r="K16" s="5"/>
    </row>
    <row r="17" spans="1:11" ht="22" customHeight="1" thickBot="1" x14ac:dyDescent="0.4">
      <c r="A17" s="452"/>
      <c r="B17" s="73" t="s">
        <v>28</v>
      </c>
      <c r="C17" s="82">
        <v>233</v>
      </c>
      <c r="D17" s="89">
        <f>D16/D15</f>
        <v>434.66938405797106</v>
      </c>
      <c r="E17" s="96">
        <f>E16/E15</f>
        <v>357.1241144056678</v>
      </c>
      <c r="F17" s="103">
        <f>F16/F15</f>
        <v>363.33347401851233</v>
      </c>
      <c r="G17" s="186">
        <f>G16/G15</f>
        <v>607.93121149897331</v>
      </c>
      <c r="H17" s="195">
        <v>409</v>
      </c>
      <c r="I17" s="413">
        <f>I16/I15</f>
        <v>367.34451183256033</v>
      </c>
      <c r="J17" s="413">
        <f>J16/J15</f>
        <v>346.93463256191637</v>
      </c>
      <c r="K17" s="5"/>
    </row>
    <row r="18" spans="1:11" ht="21" customHeight="1" x14ac:dyDescent="0.4">
      <c r="A18" s="443" t="s">
        <v>32</v>
      </c>
      <c r="B18" s="72" t="s">
        <v>26</v>
      </c>
      <c r="C18" s="83">
        <v>247</v>
      </c>
      <c r="D18" s="90">
        <v>104.43</v>
      </c>
      <c r="E18" s="83">
        <v>148.34</v>
      </c>
      <c r="F18" s="104">
        <v>124.6212543</v>
      </c>
      <c r="G18" s="184">
        <v>89.92</v>
      </c>
      <c r="H18" s="192">
        <v>62.31</v>
      </c>
      <c r="I18" s="393">
        <v>51.15</v>
      </c>
      <c r="J18" s="393">
        <v>34.049999999999997</v>
      </c>
      <c r="K18" s="5"/>
    </row>
    <row r="19" spans="1:11" ht="21.5" customHeight="1" x14ac:dyDescent="0.4">
      <c r="A19" s="444"/>
      <c r="B19" s="73" t="s">
        <v>27</v>
      </c>
      <c r="C19" s="80">
        <v>83000</v>
      </c>
      <c r="D19" s="86">
        <f>45.51*1000</f>
        <v>45510</v>
      </c>
      <c r="E19" s="77">
        <f>61.85*1000</f>
        <v>61850</v>
      </c>
      <c r="F19" s="80">
        <f xml:space="preserve"> 66.31*1000</f>
        <v>66310</v>
      </c>
      <c r="G19" s="185">
        <f>48.88*1000</f>
        <v>48880</v>
      </c>
      <c r="H19" s="194">
        <v>26780</v>
      </c>
      <c r="I19" s="399">
        <v>16577</v>
      </c>
      <c r="J19" s="399">
        <v>11670</v>
      </c>
      <c r="K19" s="5"/>
    </row>
    <row r="20" spans="1:11" ht="22.5" customHeight="1" thickBot="1" x14ac:dyDescent="0.4">
      <c r="A20" s="445"/>
      <c r="B20" s="74" t="s">
        <v>28</v>
      </c>
      <c r="C20" s="78">
        <v>336</v>
      </c>
      <c r="D20" s="87">
        <f>D19/D18</f>
        <v>435.79431197931626</v>
      </c>
      <c r="E20" s="93">
        <f>E19/E18</f>
        <v>416.9475529189699</v>
      </c>
      <c r="F20" s="102">
        <f>F19/F18</f>
        <v>532.09222112603948</v>
      </c>
      <c r="G20" s="186">
        <f>G19/G18</f>
        <v>543.59430604982208</v>
      </c>
      <c r="H20" s="195">
        <v>430</v>
      </c>
      <c r="I20" s="413">
        <f>I19/I18</f>
        <v>324.08602150537638</v>
      </c>
      <c r="J20" s="413">
        <f>J19/J18</f>
        <v>342.7312775330397</v>
      </c>
      <c r="K20" s="5"/>
    </row>
    <row r="21" spans="1:11" ht="26" customHeight="1" x14ac:dyDescent="0.35">
      <c r="A21" s="442" t="s">
        <v>301</v>
      </c>
      <c r="B21" s="442"/>
      <c r="C21" s="442"/>
      <c r="D21" s="442"/>
      <c r="E21" s="5"/>
      <c r="F21" s="5"/>
      <c r="G21" s="5"/>
      <c r="H21" s="4"/>
      <c r="I21" s="5"/>
      <c r="J21" s="5"/>
      <c r="K21" s="5"/>
    </row>
  </sheetData>
  <mergeCells count="9">
    <mergeCell ref="A1:I1"/>
    <mergeCell ref="A21:D21"/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815F3-1644-4E24-AD47-C6D8644369AC}">
  <dimension ref="A1:G157"/>
  <sheetViews>
    <sheetView workbookViewId="0">
      <selection activeCell="F97" sqref="F97"/>
    </sheetView>
  </sheetViews>
  <sheetFormatPr defaultRowHeight="14.5" x14ac:dyDescent="0.35"/>
  <cols>
    <col min="1" max="1" width="6.453125" customWidth="1"/>
    <col min="2" max="2" width="44.90625" customWidth="1"/>
    <col min="3" max="3" width="12.6328125" style="216" customWidth="1"/>
    <col min="4" max="4" width="17.6328125" style="216" customWidth="1"/>
    <col min="5" max="5" width="23.36328125" customWidth="1"/>
  </cols>
  <sheetData>
    <row r="1" spans="1:7" ht="15.5" x14ac:dyDescent="0.35">
      <c r="A1" s="453" t="s">
        <v>190</v>
      </c>
      <c r="B1" s="453"/>
      <c r="C1" s="453"/>
      <c r="D1" s="453"/>
      <c r="E1" s="453"/>
      <c r="F1" s="453"/>
      <c r="G1" s="206"/>
    </row>
    <row r="2" spans="1:7" ht="16" thickBot="1" x14ac:dyDescent="0.4">
      <c r="A2" s="205"/>
      <c r="B2" s="207"/>
      <c r="C2" s="205"/>
      <c r="D2" s="205"/>
      <c r="E2" s="205"/>
      <c r="F2" s="205"/>
      <c r="G2" s="206"/>
    </row>
    <row r="3" spans="1:7" ht="16" thickBot="1" x14ac:dyDescent="0.4">
      <c r="A3" s="265" t="s">
        <v>189</v>
      </c>
      <c r="B3" s="266" t="s">
        <v>33</v>
      </c>
      <c r="C3" s="267" t="s">
        <v>34</v>
      </c>
      <c r="D3" s="268" t="s">
        <v>35</v>
      </c>
      <c r="E3" s="269" t="s">
        <v>36</v>
      </c>
      <c r="F3" s="206"/>
      <c r="G3" s="206"/>
    </row>
    <row r="4" spans="1:7" s="211" customFormat="1" x14ac:dyDescent="0.35">
      <c r="A4" s="251">
        <v>1</v>
      </c>
      <c r="B4" s="208" t="s">
        <v>191</v>
      </c>
      <c r="C4" s="210">
        <v>19</v>
      </c>
      <c r="D4" s="210">
        <v>2015</v>
      </c>
      <c r="E4" s="252" t="s">
        <v>37</v>
      </c>
    </row>
    <row r="5" spans="1:7" s="211" customFormat="1" x14ac:dyDescent="0.35">
      <c r="A5" s="251">
        <v>2</v>
      </c>
      <c r="B5" s="208" t="s">
        <v>192</v>
      </c>
      <c r="C5" s="210">
        <v>56</v>
      </c>
      <c r="D5" s="210">
        <v>2012</v>
      </c>
      <c r="E5" s="252" t="s">
        <v>37</v>
      </c>
    </row>
    <row r="6" spans="1:7" s="211" customFormat="1" x14ac:dyDescent="0.35">
      <c r="A6" s="251">
        <v>3</v>
      </c>
      <c r="B6" s="208" t="s">
        <v>193</v>
      </c>
      <c r="C6" s="210">
        <v>23</v>
      </c>
      <c r="D6" s="210">
        <v>2015</v>
      </c>
      <c r="E6" s="252" t="s">
        <v>37</v>
      </c>
      <c r="F6" s="454" t="s">
        <v>188</v>
      </c>
      <c r="G6" s="454"/>
    </row>
    <row r="7" spans="1:7" s="211" customFormat="1" x14ac:dyDescent="0.35">
      <c r="A7" s="251">
        <v>4</v>
      </c>
      <c r="B7" s="208" t="s">
        <v>194</v>
      </c>
      <c r="C7" s="210">
        <v>17</v>
      </c>
      <c r="D7" s="210">
        <v>2012</v>
      </c>
      <c r="E7" s="252" t="s">
        <v>37</v>
      </c>
    </row>
    <row r="8" spans="1:7" s="211" customFormat="1" x14ac:dyDescent="0.35">
      <c r="A8" s="251">
        <v>5</v>
      </c>
      <c r="B8" s="208" t="s">
        <v>195</v>
      </c>
      <c r="C8" s="210">
        <v>24</v>
      </c>
      <c r="D8" s="210">
        <v>2017</v>
      </c>
      <c r="E8" s="252" t="s">
        <v>37</v>
      </c>
    </row>
    <row r="9" spans="1:7" s="211" customFormat="1" x14ac:dyDescent="0.35">
      <c r="A9" s="251">
        <v>6</v>
      </c>
      <c r="B9" s="208" t="s">
        <v>196</v>
      </c>
      <c r="C9" s="210">
        <v>44</v>
      </c>
      <c r="D9" s="210">
        <v>2009</v>
      </c>
      <c r="E9" s="252" t="s">
        <v>37</v>
      </c>
    </row>
    <row r="10" spans="1:7" s="211" customFormat="1" x14ac:dyDescent="0.35">
      <c r="A10" s="251">
        <v>7</v>
      </c>
      <c r="B10" s="210" t="s">
        <v>197</v>
      </c>
      <c r="C10" s="210">
        <v>68</v>
      </c>
      <c r="D10" s="210">
        <v>2015</v>
      </c>
      <c r="E10" s="252" t="s">
        <v>37</v>
      </c>
    </row>
    <row r="11" spans="1:7" s="211" customFormat="1" x14ac:dyDescent="0.35">
      <c r="A11" s="251">
        <v>8</v>
      </c>
      <c r="B11" s="210" t="s">
        <v>198</v>
      </c>
      <c r="C11" s="210">
        <v>24</v>
      </c>
      <c r="D11" s="210">
        <v>2008</v>
      </c>
      <c r="E11" s="252" t="s">
        <v>37</v>
      </c>
    </row>
    <row r="12" spans="1:7" s="211" customFormat="1" x14ac:dyDescent="0.35">
      <c r="A12" s="251">
        <v>9</v>
      </c>
      <c r="B12" s="210" t="s">
        <v>199</v>
      </c>
      <c r="C12" s="210">
        <v>70</v>
      </c>
      <c r="D12" s="210">
        <v>2018</v>
      </c>
      <c r="E12" s="252" t="s">
        <v>37</v>
      </c>
    </row>
    <row r="13" spans="1:7" s="211" customFormat="1" x14ac:dyDescent="0.35">
      <c r="A13" s="251">
        <v>10</v>
      </c>
      <c r="B13" s="210" t="s">
        <v>200</v>
      </c>
      <c r="C13" s="210">
        <v>51</v>
      </c>
      <c r="D13" s="210">
        <v>2010</v>
      </c>
      <c r="E13" s="252" t="s">
        <v>37</v>
      </c>
    </row>
    <row r="14" spans="1:7" s="211" customFormat="1" x14ac:dyDescent="0.35">
      <c r="A14" s="251">
        <v>11</v>
      </c>
      <c r="B14" s="210" t="s">
        <v>201</v>
      </c>
      <c r="C14" s="210">
        <v>78</v>
      </c>
      <c r="D14" s="210">
        <v>2015</v>
      </c>
      <c r="E14" s="252" t="s">
        <v>37</v>
      </c>
    </row>
    <row r="15" spans="1:7" s="211" customFormat="1" x14ac:dyDescent="0.35">
      <c r="A15" s="251">
        <v>12</v>
      </c>
      <c r="B15" s="210" t="s">
        <v>202</v>
      </c>
      <c r="C15" s="210">
        <v>27</v>
      </c>
      <c r="D15" s="210">
        <v>2010</v>
      </c>
      <c r="E15" s="252" t="s">
        <v>37</v>
      </c>
    </row>
    <row r="16" spans="1:7" s="211" customFormat="1" x14ac:dyDescent="0.35">
      <c r="A16" s="251">
        <v>13</v>
      </c>
      <c r="B16" s="210" t="s">
        <v>203</v>
      </c>
      <c r="C16" s="210">
        <v>37</v>
      </c>
      <c r="D16" s="210">
        <v>2019</v>
      </c>
      <c r="E16" s="252" t="s">
        <v>37</v>
      </c>
    </row>
    <row r="17" spans="1:7" s="211" customFormat="1" x14ac:dyDescent="0.35">
      <c r="A17" s="251">
        <v>14</v>
      </c>
      <c r="B17" s="210" t="s">
        <v>204</v>
      </c>
      <c r="C17" s="210">
        <v>23</v>
      </c>
      <c r="D17" s="210">
        <v>2011</v>
      </c>
      <c r="E17" s="252" t="s">
        <v>37</v>
      </c>
    </row>
    <row r="18" spans="1:7" s="211" customFormat="1" x14ac:dyDescent="0.35">
      <c r="A18" s="251">
        <v>15</v>
      </c>
      <c r="B18" s="210" t="s">
        <v>205</v>
      </c>
      <c r="C18" s="210">
        <v>83</v>
      </c>
      <c r="D18" s="210">
        <v>2010</v>
      </c>
      <c r="E18" s="252" t="s">
        <v>37</v>
      </c>
    </row>
    <row r="19" spans="1:7" s="211" customFormat="1" x14ac:dyDescent="0.35">
      <c r="A19" s="251">
        <v>16</v>
      </c>
      <c r="B19" s="210" t="s">
        <v>206</v>
      </c>
      <c r="C19" s="210">
        <v>119</v>
      </c>
      <c r="D19" s="210">
        <v>2017</v>
      </c>
      <c r="E19" s="252" t="s">
        <v>37</v>
      </c>
    </row>
    <row r="20" spans="1:7" s="211" customFormat="1" x14ac:dyDescent="0.35">
      <c r="A20" s="251">
        <v>17</v>
      </c>
      <c r="B20" s="210" t="s">
        <v>207</v>
      </c>
      <c r="C20" s="210">
        <v>91</v>
      </c>
      <c r="D20" s="210">
        <v>2015</v>
      </c>
      <c r="E20" s="252" t="s">
        <v>37</v>
      </c>
    </row>
    <row r="21" spans="1:7" s="212" customFormat="1" x14ac:dyDescent="0.35">
      <c r="A21" s="251">
        <v>18</v>
      </c>
      <c r="B21" s="210" t="s">
        <v>208</v>
      </c>
      <c r="C21" s="210">
        <v>135</v>
      </c>
      <c r="D21" s="210">
        <v>2009</v>
      </c>
      <c r="E21" s="252" t="s">
        <v>37</v>
      </c>
      <c r="F21" s="211"/>
      <c r="G21" s="211"/>
    </row>
    <row r="22" spans="1:7" s="212" customFormat="1" x14ac:dyDescent="0.35">
      <c r="A22" s="251">
        <v>19</v>
      </c>
      <c r="B22" s="210" t="s">
        <v>209</v>
      </c>
      <c r="C22" s="210">
        <v>47</v>
      </c>
      <c r="D22" s="210">
        <v>2020</v>
      </c>
      <c r="E22" s="252" t="s">
        <v>37</v>
      </c>
      <c r="F22" s="211"/>
      <c r="G22" s="211"/>
    </row>
    <row r="23" spans="1:7" s="212" customFormat="1" x14ac:dyDescent="0.35">
      <c r="A23" s="251">
        <v>20</v>
      </c>
      <c r="B23" s="210" t="s">
        <v>210</v>
      </c>
      <c r="C23" s="210">
        <v>50</v>
      </c>
      <c r="D23" s="210">
        <v>2012</v>
      </c>
      <c r="E23" s="252" t="s">
        <v>37</v>
      </c>
      <c r="F23" s="211"/>
      <c r="G23" s="211"/>
    </row>
    <row r="24" spans="1:7" s="212" customFormat="1" x14ac:dyDescent="0.35">
      <c r="A24" s="251">
        <v>21</v>
      </c>
      <c r="B24" s="210" t="s">
        <v>211</v>
      </c>
      <c r="C24" s="210">
        <v>12</v>
      </c>
      <c r="D24" s="210">
        <v>2012</v>
      </c>
      <c r="E24" s="252" t="s">
        <v>37</v>
      </c>
      <c r="F24" s="211"/>
      <c r="G24" s="211"/>
    </row>
    <row r="25" spans="1:7" s="212" customFormat="1" x14ac:dyDescent="0.35">
      <c r="A25" s="251">
        <v>22</v>
      </c>
      <c r="B25" s="210" t="s">
        <v>212</v>
      </c>
      <c r="C25" s="210">
        <v>18</v>
      </c>
      <c r="D25" s="210">
        <v>2015</v>
      </c>
      <c r="E25" s="252" t="s">
        <v>37</v>
      </c>
      <c r="F25" s="211"/>
      <c r="G25" s="211"/>
    </row>
    <row r="26" spans="1:7" s="211" customFormat="1" x14ac:dyDescent="0.35">
      <c r="A26" s="251">
        <v>23</v>
      </c>
      <c r="B26" s="210" t="s">
        <v>213</v>
      </c>
      <c r="C26" s="210">
        <v>24</v>
      </c>
      <c r="D26" s="210">
        <v>2010</v>
      </c>
      <c r="E26" s="252" t="s">
        <v>37</v>
      </c>
    </row>
    <row r="27" spans="1:7" s="211" customFormat="1" x14ac:dyDescent="0.35">
      <c r="A27" s="251">
        <v>24</v>
      </c>
      <c r="B27" s="210" t="s">
        <v>214</v>
      </c>
      <c r="C27" s="210">
        <v>36</v>
      </c>
      <c r="D27" s="210">
        <v>2011</v>
      </c>
      <c r="E27" s="252" t="s">
        <v>37</v>
      </c>
    </row>
    <row r="28" spans="1:7" s="211" customFormat="1" x14ac:dyDescent="0.35">
      <c r="A28" s="251">
        <v>25</v>
      </c>
      <c r="B28" s="210" t="s">
        <v>215</v>
      </c>
      <c r="C28" s="210">
        <v>38</v>
      </c>
      <c r="D28" s="210">
        <v>2015</v>
      </c>
      <c r="E28" s="252" t="s">
        <v>37</v>
      </c>
    </row>
    <row r="29" spans="1:7" s="211" customFormat="1" x14ac:dyDescent="0.35">
      <c r="A29" s="251">
        <v>26</v>
      </c>
      <c r="B29" s="210" t="s">
        <v>216</v>
      </c>
      <c r="C29" s="210">
        <v>34</v>
      </c>
      <c r="D29" s="210">
        <v>2012</v>
      </c>
      <c r="E29" s="252" t="s">
        <v>37</v>
      </c>
    </row>
    <row r="30" spans="1:7" s="211" customFormat="1" x14ac:dyDescent="0.35">
      <c r="A30" s="251">
        <v>27</v>
      </c>
      <c r="B30" s="210" t="s">
        <v>217</v>
      </c>
      <c r="C30" s="210">
        <v>17</v>
      </c>
      <c r="D30" s="210">
        <v>2013</v>
      </c>
      <c r="E30" s="252" t="s">
        <v>37</v>
      </c>
    </row>
    <row r="31" spans="1:7" s="211" customFormat="1" x14ac:dyDescent="0.35">
      <c r="A31" s="251">
        <v>28</v>
      </c>
      <c r="B31" s="210" t="s">
        <v>218</v>
      </c>
      <c r="C31" s="210">
        <v>83</v>
      </c>
      <c r="D31" s="209">
        <v>2012</v>
      </c>
      <c r="E31" s="252" t="s">
        <v>37</v>
      </c>
    </row>
    <row r="32" spans="1:7" s="211" customFormat="1" x14ac:dyDescent="0.35">
      <c r="A32" s="251">
        <v>29</v>
      </c>
      <c r="B32" s="209" t="s">
        <v>219</v>
      </c>
      <c r="C32" s="210">
        <v>82</v>
      </c>
      <c r="D32" s="253">
        <v>2015</v>
      </c>
      <c r="E32" s="254" t="s">
        <v>37</v>
      </c>
    </row>
    <row r="33" spans="1:7" s="211" customFormat="1" x14ac:dyDescent="0.35">
      <c r="A33" s="251">
        <v>30</v>
      </c>
      <c r="B33" s="209" t="s">
        <v>220</v>
      </c>
      <c r="C33" s="210">
        <v>113</v>
      </c>
      <c r="D33" s="253">
        <v>2018</v>
      </c>
      <c r="E33" s="254" t="s">
        <v>37</v>
      </c>
    </row>
    <row r="34" spans="1:7" s="211" customFormat="1" x14ac:dyDescent="0.35">
      <c r="A34" s="251">
        <v>31</v>
      </c>
      <c r="B34" s="209" t="s">
        <v>221</v>
      </c>
      <c r="C34" s="210">
        <v>16</v>
      </c>
      <c r="D34" s="209">
        <v>2012</v>
      </c>
      <c r="E34" s="252" t="s">
        <v>37</v>
      </c>
    </row>
    <row r="35" spans="1:7" s="211" customFormat="1" x14ac:dyDescent="0.35">
      <c r="A35" s="251">
        <v>32</v>
      </c>
      <c r="B35" s="209" t="s">
        <v>222</v>
      </c>
      <c r="C35" s="210">
        <v>17</v>
      </c>
      <c r="D35" s="209">
        <v>2012</v>
      </c>
      <c r="E35" s="252" t="s">
        <v>37</v>
      </c>
    </row>
    <row r="36" spans="1:7" s="211" customFormat="1" x14ac:dyDescent="0.35">
      <c r="A36" s="251">
        <v>33</v>
      </c>
      <c r="B36" s="209" t="s">
        <v>223</v>
      </c>
      <c r="C36" s="210">
        <v>54</v>
      </c>
      <c r="D36" s="210">
        <v>2010</v>
      </c>
      <c r="E36" s="252" t="s">
        <v>37</v>
      </c>
    </row>
    <row r="37" spans="1:7" s="211" customFormat="1" x14ac:dyDescent="0.35">
      <c r="A37" s="251">
        <v>34</v>
      </c>
      <c r="B37" s="209" t="s">
        <v>224</v>
      </c>
      <c r="C37" s="210">
        <v>13</v>
      </c>
      <c r="D37" s="210">
        <v>2012</v>
      </c>
      <c r="E37" s="252" t="s">
        <v>37</v>
      </c>
    </row>
    <row r="38" spans="1:7" s="211" customFormat="1" x14ac:dyDescent="0.35">
      <c r="A38" s="251">
        <v>35</v>
      </c>
      <c r="B38" s="210" t="s">
        <v>225</v>
      </c>
      <c r="C38" s="210">
        <v>29</v>
      </c>
      <c r="D38" s="210">
        <v>2012</v>
      </c>
      <c r="E38" s="252" t="s">
        <v>37</v>
      </c>
    </row>
    <row r="39" spans="1:7" s="211" customFormat="1" x14ac:dyDescent="0.35">
      <c r="A39" s="251">
        <v>36</v>
      </c>
      <c r="B39" s="210" t="s">
        <v>226</v>
      </c>
      <c r="C39" s="210">
        <v>46</v>
      </c>
      <c r="D39" s="210">
        <v>2013</v>
      </c>
      <c r="E39" s="252" t="s">
        <v>37</v>
      </c>
    </row>
    <row r="40" spans="1:7" s="211" customFormat="1" x14ac:dyDescent="0.35">
      <c r="A40" s="251">
        <v>37</v>
      </c>
      <c r="B40" s="210" t="s">
        <v>227</v>
      </c>
      <c r="C40" s="210">
        <v>57</v>
      </c>
      <c r="D40" s="210">
        <v>2019</v>
      </c>
      <c r="E40" s="252" t="s">
        <v>37</v>
      </c>
    </row>
    <row r="41" spans="1:7" s="211" customFormat="1" x14ac:dyDescent="0.35">
      <c r="A41" s="251">
        <v>38</v>
      </c>
      <c r="B41" s="210" t="s">
        <v>228</v>
      </c>
      <c r="C41" s="210">
        <v>62</v>
      </c>
      <c r="D41" s="210">
        <v>2008</v>
      </c>
      <c r="E41" s="252" t="s">
        <v>37</v>
      </c>
    </row>
    <row r="42" spans="1:7" s="211" customFormat="1" x14ac:dyDescent="0.35">
      <c r="A42" s="251">
        <v>39</v>
      </c>
      <c r="B42" s="210" t="s">
        <v>229</v>
      </c>
      <c r="C42" s="210">
        <v>58</v>
      </c>
      <c r="D42" s="210">
        <v>2015</v>
      </c>
      <c r="E42" s="252" t="s">
        <v>37</v>
      </c>
    </row>
    <row r="43" spans="1:7" s="211" customFormat="1" x14ac:dyDescent="0.35">
      <c r="A43" s="251">
        <v>40</v>
      </c>
      <c r="B43" s="210" t="s">
        <v>230</v>
      </c>
      <c r="C43" s="210">
        <v>46</v>
      </c>
      <c r="D43" s="210">
        <v>2013</v>
      </c>
      <c r="E43" s="252" t="s">
        <v>37</v>
      </c>
    </row>
    <row r="44" spans="1:7" s="211" customFormat="1" x14ac:dyDescent="0.35">
      <c r="A44" s="251">
        <v>41</v>
      </c>
      <c r="B44" s="210" t="s">
        <v>231</v>
      </c>
      <c r="C44" s="210">
        <v>22</v>
      </c>
      <c r="D44" s="210">
        <v>2012</v>
      </c>
      <c r="E44" s="252" t="s">
        <v>37</v>
      </c>
    </row>
    <row r="45" spans="1:7" s="213" customFormat="1" x14ac:dyDescent="0.35">
      <c r="A45" s="251">
        <v>42</v>
      </c>
      <c r="B45" s="210" t="s">
        <v>232</v>
      </c>
      <c r="C45" s="210">
        <v>47</v>
      </c>
      <c r="D45" s="210">
        <v>2014</v>
      </c>
      <c r="E45" s="252" t="s">
        <v>37</v>
      </c>
      <c r="F45" s="211"/>
      <c r="G45" s="211"/>
    </row>
    <row r="46" spans="1:7" s="213" customFormat="1" x14ac:dyDescent="0.35">
      <c r="A46" s="251">
        <v>43</v>
      </c>
      <c r="B46" s="210" t="s">
        <v>233</v>
      </c>
      <c r="C46" s="210">
        <v>24</v>
      </c>
      <c r="D46" s="210">
        <v>2017</v>
      </c>
      <c r="E46" s="252" t="s">
        <v>37</v>
      </c>
      <c r="F46" s="211"/>
      <c r="G46" s="211"/>
    </row>
    <row r="47" spans="1:7" s="213" customFormat="1" x14ac:dyDescent="0.35">
      <c r="A47" s="251">
        <v>44</v>
      </c>
      <c r="B47" s="210" t="s">
        <v>234</v>
      </c>
      <c r="C47" s="210">
        <v>43</v>
      </c>
      <c r="D47" s="210">
        <v>2013</v>
      </c>
      <c r="E47" s="252" t="s">
        <v>37</v>
      </c>
      <c r="F47" s="211"/>
      <c r="G47" s="211"/>
    </row>
    <row r="48" spans="1:7" s="213" customFormat="1" x14ac:dyDescent="0.35">
      <c r="A48" s="251">
        <v>45</v>
      </c>
      <c r="B48" s="210" t="s">
        <v>235</v>
      </c>
      <c r="C48" s="210">
        <v>59</v>
      </c>
      <c r="D48" s="210">
        <v>2010</v>
      </c>
      <c r="E48" s="252" t="s">
        <v>37</v>
      </c>
      <c r="F48" s="211"/>
      <c r="G48" s="211"/>
    </row>
    <row r="49" spans="1:7" s="213" customFormat="1" x14ac:dyDescent="0.35">
      <c r="A49" s="251">
        <v>46</v>
      </c>
      <c r="B49" s="210" t="s">
        <v>236</v>
      </c>
      <c r="C49" s="210">
        <v>12</v>
      </c>
      <c r="D49" s="210">
        <v>2017</v>
      </c>
      <c r="E49" s="252" t="s">
        <v>37</v>
      </c>
      <c r="F49" s="211"/>
      <c r="G49" s="211"/>
    </row>
    <row r="50" spans="1:7" s="213" customFormat="1" x14ac:dyDescent="0.35">
      <c r="A50" s="251">
        <v>47</v>
      </c>
      <c r="B50" s="210" t="s">
        <v>237</v>
      </c>
      <c r="C50" s="210">
        <v>37</v>
      </c>
      <c r="D50" s="210">
        <v>2018</v>
      </c>
      <c r="E50" s="252" t="s">
        <v>37</v>
      </c>
      <c r="F50" s="211"/>
      <c r="G50" s="211"/>
    </row>
    <row r="51" spans="1:7" s="214" customFormat="1" x14ac:dyDescent="0.35">
      <c r="A51" s="251">
        <v>48</v>
      </c>
      <c r="B51" s="210" t="s">
        <v>238</v>
      </c>
      <c r="C51" s="210">
        <v>31</v>
      </c>
      <c r="D51" s="210">
        <v>2012</v>
      </c>
      <c r="E51" s="252" t="s">
        <v>37</v>
      </c>
      <c r="F51" s="211"/>
      <c r="G51" s="211"/>
    </row>
    <row r="52" spans="1:7" s="211" customFormat="1" x14ac:dyDescent="0.35">
      <c r="A52" s="251">
        <v>49</v>
      </c>
      <c r="B52" s="210" t="s">
        <v>239</v>
      </c>
      <c r="C52" s="210">
        <v>73</v>
      </c>
      <c r="D52" s="210">
        <v>2013</v>
      </c>
      <c r="E52" s="252" t="s">
        <v>37</v>
      </c>
    </row>
    <row r="53" spans="1:7" s="211" customFormat="1" x14ac:dyDescent="0.35">
      <c r="A53" s="251">
        <v>50</v>
      </c>
      <c r="B53" s="210" t="s">
        <v>240</v>
      </c>
      <c r="C53" s="210">
        <v>77</v>
      </c>
      <c r="D53" s="210">
        <v>2017</v>
      </c>
      <c r="E53" s="252" t="s">
        <v>37</v>
      </c>
    </row>
    <row r="54" spans="1:7" s="211" customFormat="1" x14ac:dyDescent="0.35">
      <c r="A54" s="251">
        <v>51</v>
      </c>
      <c r="B54" s="210" t="s">
        <v>241</v>
      </c>
      <c r="C54" s="210">
        <v>11</v>
      </c>
      <c r="D54" s="210">
        <v>2018</v>
      </c>
      <c r="E54" s="252" t="s">
        <v>37</v>
      </c>
    </row>
    <row r="55" spans="1:7" s="211" customFormat="1" x14ac:dyDescent="0.35">
      <c r="A55" s="251">
        <v>52</v>
      </c>
      <c r="B55" s="210" t="s">
        <v>242</v>
      </c>
      <c r="C55" s="210">
        <v>64</v>
      </c>
      <c r="D55" s="210">
        <v>2010</v>
      </c>
      <c r="E55" s="252" t="s">
        <v>37</v>
      </c>
    </row>
    <row r="56" spans="1:7" s="211" customFormat="1" x14ac:dyDescent="0.35">
      <c r="A56" s="251">
        <v>53</v>
      </c>
      <c r="B56" s="210" t="s">
        <v>243</v>
      </c>
      <c r="C56" s="210">
        <v>43</v>
      </c>
      <c r="D56" s="210">
        <v>2010</v>
      </c>
      <c r="E56" s="252" t="s">
        <v>37</v>
      </c>
    </row>
    <row r="57" spans="1:7" s="211" customFormat="1" x14ac:dyDescent="0.35">
      <c r="A57" s="251">
        <v>54</v>
      </c>
      <c r="B57" s="210" t="s">
        <v>244</v>
      </c>
      <c r="C57" s="210">
        <v>46</v>
      </c>
      <c r="D57" s="210">
        <v>2013</v>
      </c>
      <c r="E57" s="252" t="s">
        <v>37</v>
      </c>
    </row>
    <row r="58" spans="1:7" s="211" customFormat="1" x14ac:dyDescent="0.35">
      <c r="A58" s="251">
        <v>55</v>
      </c>
      <c r="B58" s="210" t="s">
        <v>245</v>
      </c>
      <c r="C58" s="210">
        <v>13</v>
      </c>
      <c r="D58" s="210">
        <v>2011</v>
      </c>
      <c r="E58" s="252" t="s">
        <v>37</v>
      </c>
    </row>
    <row r="59" spans="1:7" s="211" customFormat="1" x14ac:dyDescent="0.35">
      <c r="A59" s="251">
        <v>56</v>
      </c>
      <c r="B59" s="210" t="s">
        <v>246</v>
      </c>
      <c r="C59" s="210">
        <v>17</v>
      </c>
      <c r="D59" s="210">
        <v>2013</v>
      </c>
      <c r="E59" s="252" t="s">
        <v>37</v>
      </c>
    </row>
    <row r="60" spans="1:7" s="211" customFormat="1" x14ac:dyDescent="0.35">
      <c r="A60" s="251">
        <v>57</v>
      </c>
      <c r="B60" s="210" t="s">
        <v>247</v>
      </c>
      <c r="C60" s="210">
        <v>44</v>
      </c>
      <c r="D60" s="210">
        <v>2009</v>
      </c>
      <c r="E60" s="252" t="s">
        <v>37</v>
      </c>
    </row>
    <row r="61" spans="1:7" s="211" customFormat="1" x14ac:dyDescent="0.35">
      <c r="A61" s="251">
        <v>58</v>
      </c>
      <c r="B61" s="209" t="s">
        <v>248</v>
      </c>
      <c r="C61" s="210">
        <v>8</v>
      </c>
      <c r="D61" s="210">
        <v>2021</v>
      </c>
      <c r="E61" s="252" t="s">
        <v>37</v>
      </c>
    </row>
    <row r="62" spans="1:7" s="211" customFormat="1" x14ac:dyDescent="0.35">
      <c r="A62" s="251">
        <v>59</v>
      </c>
      <c r="B62" s="209" t="s">
        <v>249</v>
      </c>
      <c r="C62" s="210">
        <v>34</v>
      </c>
      <c r="D62" s="210">
        <v>2017</v>
      </c>
      <c r="E62" s="252" t="s">
        <v>37</v>
      </c>
    </row>
    <row r="63" spans="1:7" s="211" customFormat="1" x14ac:dyDescent="0.35">
      <c r="A63" s="251">
        <v>60</v>
      </c>
      <c r="B63" s="209" t="s">
        <v>250</v>
      </c>
      <c r="C63" s="210">
        <v>9</v>
      </c>
      <c r="D63" s="210">
        <v>2015</v>
      </c>
      <c r="E63" s="252" t="s">
        <v>37</v>
      </c>
    </row>
    <row r="64" spans="1:7" s="211" customFormat="1" x14ac:dyDescent="0.35">
      <c r="A64" s="251">
        <v>61</v>
      </c>
      <c r="B64" s="209" t="s">
        <v>251</v>
      </c>
      <c r="C64" s="210">
        <v>31</v>
      </c>
      <c r="D64" s="210">
        <v>2017</v>
      </c>
      <c r="E64" s="252" t="s">
        <v>37</v>
      </c>
    </row>
    <row r="65" spans="1:5" s="211" customFormat="1" x14ac:dyDescent="0.35">
      <c r="A65" s="251">
        <v>62</v>
      </c>
      <c r="B65" s="209" t="s">
        <v>252</v>
      </c>
      <c r="C65" s="210">
        <v>39</v>
      </c>
      <c r="D65" s="210">
        <v>2017</v>
      </c>
      <c r="E65" s="252" t="s">
        <v>37</v>
      </c>
    </row>
    <row r="66" spans="1:5" s="211" customFormat="1" x14ac:dyDescent="0.35">
      <c r="A66" s="251">
        <v>63</v>
      </c>
      <c r="B66" s="209" t="s">
        <v>253</v>
      </c>
      <c r="C66" s="210">
        <v>36</v>
      </c>
      <c r="D66" s="210">
        <v>2021</v>
      </c>
      <c r="E66" s="252" t="s">
        <v>37</v>
      </c>
    </row>
    <row r="67" spans="1:5" s="211" customFormat="1" x14ac:dyDescent="0.35">
      <c r="A67" s="251">
        <v>64</v>
      </c>
      <c r="B67" s="210" t="s">
        <v>254</v>
      </c>
      <c r="C67" s="210">
        <v>20</v>
      </c>
      <c r="D67" s="210">
        <v>2011</v>
      </c>
      <c r="E67" s="252" t="s">
        <v>37</v>
      </c>
    </row>
    <row r="68" spans="1:5" s="211" customFormat="1" x14ac:dyDescent="0.35">
      <c r="A68" s="251">
        <v>65</v>
      </c>
      <c r="B68" s="210" t="s">
        <v>255</v>
      </c>
      <c r="C68" s="210">
        <v>10</v>
      </c>
      <c r="D68" s="210">
        <v>2015</v>
      </c>
      <c r="E68" s="252" t="s">
        <v>37</v>
      </c>
    </row>
    <row r="69" spans="1:5" s="211" customFormat="1" x14ac:dyDescent="0.35">
      <c r="A69" s="251">
        <v>66</v>
      </c>
      <c r="B69" s="210" t="s">
        <v>256</v>
      </c>
      <c r="C69" s="210">
        <v>31</v>
      </c>
      <c r="D69" s="210">
        <v>2016</v>
      </c>
      <c r="E69" s="252" t="s">
        <v>37</v>
      </c>
    </row>
    <row r="70" spans="1:5" s="211" customFormat="1" x14ac:dyDescent="0.35">
      <c r="A70" s="251">
        <v>67</v>
      </c>
      <c r="B70" s="210" t="s">
        <v>257</v>
      </c>
      <c r="C70" s="210">
        <v>28</v>
      </c>
      <c r="D70" s="210">
        <v>2021</v>
      </c>
      <c r="E70" s="252" t="s">
        <v>37</v>
      </c>
    </row>
    <row r="71" spans="1:5" s="211" customFormat="1" x14ac:dyDescent="0.35">
      <c r="A71" s="251">
        <v>68</v>
      </c>
      <c r="B71" s="210" t="s">
        <v>258</v>
      </c>
      <c r="C71" s="210">
        <v>17</v>
      </c>
      <c r="D71" s="210">
        <v>2013</v>
      </c>
      <c r="E71" s="252" t="s">
        <v>37</v>
      </c>
    </row>
    <row r="72" spans="1:5" s="211" customFormat="1" x14ac:dyDescent="0.35">
      <c r="A72" s="251">
        <v>69</v>
      </c>
      <c r="B72" s="210" t="s">
        <v>259</v>
      </c>
      <c r="C72" s="210">
        <v>33</v>
      </c>
      <c r="D72" s="210">
        <v>2015</v>
      </c>
      <c r="E72" s="252" t="s">
        <v>37</v>
      </c>
    </row>
    <row r="73" spans="1:5" s="211" customFormat="1" x14ac:dyDescent="0.35">
      <c r="A73" s="251">
        <v>70</v>
      </c>
      <c r="B73" s="210" t="s">
        <v>260</v>
      </c>
      <c r="C73" s="210">
        <v>32</v>
      </c>
      <c r="D73" s="210">
        <v>2015</v>
      </c>
      <c r="E73" s="252" t="s">
        <v>37</v>
      </c>
    </row>
    <row r="74" spans="1:5" s="211" customFormat="1" x14ac:dyDescent="0.35">
      <c r="A74" s="251">
        <v>71</v>
      </c>
      <c r="B74" s="210" t="s">
        <v>261</v>
      </c>
      <c r="C74" s="210">
        <v>10</v>
      </c>
      <c r="D74" s="210">
        <v>2021</v>
      </c>
      <c r="E74" s="252" t="s">
        <v>37</v>
      </c>
    </row>
    <row r="75" spans="1:5" s="211" customFormat="1" x14ac:dyDescent="0.35">
      <c r="A75" s="251">
        <v>72</v>
      </c>
      <c r="B75" s="210" t="s">
        <v>262</v>
      </c>
      <c r="C75" s="210">
        <v>54</v>
      </c>
      <c r="D75" s="210">
        <v>2013</v>
      </c>
      <c r="E75" s="252" t="s">
        <v>37</v>
      </c>
    </row>
    <row r="76" spans="1:5" s="211" customFormat="1" x14ac:dyDescent="0.35">
      <c r="A76" s="251">
        <v>73</v>
      </c>
      <c r="B76" s="210" t="s">
        <v>263</v>
      </c>
      <c r="C76" s="210">
        <v>34</v>
      </c>
      <c r="D76" s="210">
        <v>2020</v>
      </c>
      <c r="E76" s="252" t="s">
        <v>37</v>
      </c>
    </row>
    <row r="77" spans="1:5" x14ac:dyDescent="0.35">
      <c r="A77" s="255">
        <v>74</v>
      </c>
      <c r="B77" s="35" t="s">
        <v>38</v>
      </c>
      <c r="C77" s="222">
        <v>15</v>
      </c>
      <c r="D77" s="222" t="s">
        <v>39</v>
      </c>
      <c r="E77" s="256" t="s">
        <v>40</v>
      </c>
    </row>
    <row r="78" spans="1:5" x14ac:dyDescent="0.35">
      <c r="A78" s="255">
        <v>75</v>
      </c>
      <c r="B78" s="35" t="s">
        <v>41</v>
      </c>
      <c r="C78" s="222">
        <v>23</v>
      </c>
      <c r="D78" s="222">
        <v>2012</v>
      </c>
      <c r="E78" s="256" t="s">
        <v>40</v>
      </c>
    </row>
    <row r="79" spans="1:5" x14ac:dyDescent="0.35">
      <c r="A79" s="255">
        <v>76</v>
      </c>
      <c r="B79" s="35" t="s">
        <v>42</v>
      </c>
      <c r="C79" s="222">
        <v>85</v>
      </c>
      <c r="D79" s="222" t="s">
        <v>43</v>
      </c>
      <c r="E79" s="256" t="s">
        <v>40</v>
      </c>
    </row>
    <row r="80" spans="1:5" x14ac:dyDescent="0.35">
      <c r="A80" s="255">
        <v>77</v>
      </c>
      <c r="B80" s="35" t="s">
        <v>44</v>
      </c>
      <c r="C80" s="222">
        <v>10</v>
      </c>
      <c r="D80" s="222" t="s">
        <v>45</v>
      </c>
      <c r="E80" s="256" t="s">
        <v>40</v>
      </c>
    </row>
    <row r="81" spans="1:5" x14ac:dyDescent="0.35">
      <c r="A81" s="255">
        <v>78</v>
      </c>
      <c r="B81" s="35" t="s">
        <v>46</v>
      </c>
      <c r="C81" s="222">
        <v>7</v>
      </c>
      <c r="D81" s="222" t="s">
        <v>43</v>
      </c>
      <c r="E81" s="256" t="s">
        <v>40</v>
      </c>
    </row>
    <row r="82" spans="1:5" x14ac:dyDescent="0.35">
      <c r="A82" s="255">
        <v>79</v>
      </c>
      <c r="B82" s="35" t="s">
        <v>47</v>
      </c>
      <c r="C82" s="222">
        <v>6</v>
      </c>
      <c r="D82" s="222" t="s">
        <v>43</v>
      </c>
      <c r="E82" s="256" t="s">
        <v>40</v>
      </c>
    </row>
    <row r="83" spans="1:5" x14ac:dyDescent="0.35">
      <c r="A83" s="255">
        <v>80</v>
      </c>
      <c r="B83" s="35" t="s">
        <v>48</v>
      </c>
      <c r="C83" s="222">
        <v>20</v>
      </c>
      <c r="D83" s="222" t="s">
        <v>43</v>
      </c>
      <c r="E83" s="256" t="s">
        <v>40</v>
      </c>
    </row>
    <row r="84" spans="1:5" x14ac:dyDescent="0.35">
      <c r="A84" s="255">
        <v>81</v>
      </c>
      <c r="B84" s="35" t="s">
        <v>49</v>
      </c>
      <c r="C84" s="215">
        <v>15</v>
      </c>
      <c r="D84" s="222" t="s">
        <v>43</v>
      </c>
      <c r="E84" s="256" t="s">
        <v>40</v>
      </c>
    </row>
    <row r="85" spans="1:5" x14ac:dyDescent="0.35">
      <c r="A85" s="255">
        <v>82</v>
      </c>
      <c r="B85" s="35" t="s">
        <v>50</v>
      </c>
      <c r="C85" s="215">
        <v>31</v>
      </c>
      <c r="D85" s="222" t="s">
        <v>43</v>
      </c>
      <c r="E85" s="256" t="s">
        <v>40</v>
      </c>
    </row>
    <row r="86" spans="1:5" x14ac:dyDescent="0.35">
      <c r="A86" s="255">
        <v>83</v>
      </c>
      <c r="B86" s="35" t="s">
        <v>51</v>
      </c>
      <c r="C86" s="215">
        <v>34</v>
      </c>
      <c r="D86" s="222" t="s">
        <v>43</v>
      </c>
      <c r="E86" s="256" t="s">
        <v>40</v>
      </c>
    </row>
    <row r="87" spans="1:5" x14ac:dyDescent="0.35">
      <c r="A87" s="255">
        <v>84</v>
      </c>
      <c r="B87" s="35" t="s">
        <v>52</v>
      </c>
      <c r="C87" s="222">
        <v>13</v>
      </c>
      <c r="D87" s="257" t="s">
        <v>43</v>
      </c>
      <c r="E87" s="258" t="s">
        <v>40</v>
      </c>
    </row>
    <row r="88" spans="1:5" x14ac:dyDescent="0.35">
      <c r="A88" s="255">
        <v>85</v>
      </c>
      <c r="B88" s="35" t="s">
        <v>53</v>
      </c>
      <c r="C88" s="222">
        <v>25</v>
      </c>
      <c r="D88" s="257" t="s">
        <v>43</v>
      </c>
      <c r="E88" s="258" t="s">
        <v>40</v>
      </c>
    </row>
    <row r="89" spans="1:5" x14ac:dyDescent="0.35">
      <c r="A89" s="255">
        <v>86</v>
      </c>
      <c r="B89" s="34" t="s">
        <v>54</v>
      </c>
      <c r="C89" s="222">
        <v>94</v>
      </c>
      <c r="D89" s="215" t="s">
        <v>43</v>
      </c>
      <c r="E89" s="256" t="s">
        <v>40</v>
      </c>
    </row>
    <row r="90" spans="1:5" x14ac:dyDescent="0.35">
      <c r="A90" s="255">
        <v>87</v>
      </c>
      <c r="B90" s="35" t="s">
        <v>55</v>
      </c>
      <c r="C90" s="222">
        <v>83</v>
      </c>
      <c r="D90" s="222" t="s">
        <v>45</v>
      </c>
      <c r="E90" s="256" t="s">
        <v>40</v>
      </c>
    </row>
    <row r="91" spans="1:5" x14ac:dyDescent="0.35">
      <c r="A91" s="255">
        <v>88</v>
      </c>
      <c r="B91" s="35" t="s">
        <v>56</v>
      </c>
      <c r="C91" s="222">
        <v>7</v>
      </c>
      <c r="D91" s="222" t="s">
        <v>45</v>
      </c>
      <c r="E91" s="256" t="s">
        <v>40</v>
      </c>
    </row>
    <row r="92" spans="1:5" x14ac:dyDescent="0.35">
      <c r="A92" s="255">
        <v>89</v>
      </c>
      <c r="B92" s="35" t="s">
        <v>57</v>
      </c>
      <c r="C92" s="222">
        <v>12</v>
      </c>
      <c r="D92" s="222" t="s">
        <v>43</v>
      </c>
      <c r="E92" s="256" t="s">
        <v>40</v>
      </c>
    </row>
    <row r="93" spans="1:5" x14ac:dyDescent="0.35">
      <c r="A93" s="255">
        <v>90</v>
      </c>
      <c r="B93" s="35" t="s">
        <v>58</v>
      </c>
      <c r="C93" s="222">
        <v>5</v>
      </c>
      <c r="D93" s="222" t="s">
        <v>59</v>
      </c>
      <c r="E93" s="256" t="s">
        <v>40</v>
      </c>
    </row>
    <row r="94" spans="1:5" x14ac:dyDescent="0.35">
      <c r="A94" s="255">
        <v>91</v>
      </c>
      <c r="B94" s="35" t="s">
        <v>60</v>
      </c>
      <c r="C94" s="222">
        <v>8</v>
      </c>
      <c r="D94" s="222" t="s">
        <v>61</v>
      </c>
      <c r="E94" s="256" t="s">
        <v>40</v>
      </c>
    </row>
    <row r="95" spans="1:5" x14ac:dyDescent="0.35">
      <c r="A95" s="255">
        <v>92</v>
      </c>
      <c r="B95" s="35" t="s">
        <v>62</v>
      </c>
      <c r="C95" s="222">
        <v>61</v>
      </c>
      <c r="D95" s="222" t="s">
        <v>59</v>
      </c>
      <c r="E95" s="256" t="s">
        <v>40</v>
      </c>
    </row>
    <row r="96" spans="1:5" x14ac:dyDescent="0.35">
      <c r="A96" s="255">
        <v>93</v>
      </c>
      <c r="B96" s="35" t="s">
        <v>63</v>
      </c>
      <c r="C96" s="222">
        <v>66</v>
      </c>
      <c r="D96" s="222" t="s">
        <v>59</v>
      </c>
      <c r="E96" s="256" t="s">
        <v>40</v>
      </c>
    </row>
    <row r="97" spans="1:5" x14ac:dyDescent="0.35">
      <c r="A97" s="255">
        <v>94</v>
      </c>
      <c r="B97" s="35" t="s">
        <v>64</v>
      </c>
      <c r="C97" s="222">
        <v>29</v>
      </c>
      <c r="D97" s="222" t="s">
        <v>59</v>
      </c>
      <c r="E97" s="256" t="s">
        <v>40</v>
      </c>
    </row>
    <row r="98" spans="1:5" x14ac:dyDescent="0.35">
      <c r="A98" s="255">
        <v>95</v>
      </c>
      <c r="B98" s="35" t="s">
        <v>65</v>
      </c>
      <c r="C98" s="222">
        <v>53</v>
      </c>
      <c r="D98" s="222" t="s">
        <v>59</v>
      </c>
      <c r="E98" s="256" t="s">
        <v>40</v>
      </c>
    </row>
    <row r="99" spans="1:5" x14ac:dyDescent="0.35">
      <c r="A99" s="255">
        <v>96</v>
      </c>
      <c r="B99" s="35" t="s">
        <v>66</v>
      </c>
      <c r="C99" s="222">
        <v>31</v>
      </c>
      <c r="D99" s="222" t="s">
        <v>59</v>
      </c>
      <c r="E99" s="256" t="s">
        <v>40</v>
      </c>
    </row>
    <row r="100" spans="1:5" x14ac:dyDescent="0.35">
      <c r="A100" s="255">
        <v>97</v>
      </c>
      <c r="B100" s="35" t="s">
        <v>67</v>
      </c>
      <c r="C100" s="222">
        <v>130</v>
      </c>
      <c r="D100" s="222" t="s">
        <v>59</v>
      </c>
      <c r="E100" s="256" t="s">
        <v>40</v>
      </c>
    </row>
    <row r="101" spans="1:5" x14ac:dyDescent="0.35">
      <c r="A101" s="255">
        <v>98</v>
      </c>
      <c r="B101" s="35" t="s">
        <v>68</v>
      </c>
      <c r="C101" s="222">
        <v>29</v>
      </c>
      <c r="D101" s="222" t="s">
        <v>61</v>
      </c>
      <c r="E101" s="256" t="s">
        <v>40</v>
      </c>
    </row>
    <row r="102" spans="1:5" x14ac:dyDescent="0.35">
      <c r="A102" s="255">
        <v>99</v>
      </c>
      <c r="B102" s="35" t="s">
        <v>69</v>
      </c>
      <c r="C102" s="222">
        <v>49</v>
      </c>
      <c r="D102" s="222" t="s">
        <v>61</v>
      </c>
      <c r="E102" s="256" t="s">
        <v>40</v>
      </c>
    </row>
    <row r="103" spans="1:5" x14ac:dyDescent="0.35">
      <c r="A103" s="255">
        <v>100</v>
      </c>
      <c r="B103" s="35" t="s">
        <v>70</v>
      </c>
      <c r="C103" s="222">
        <v>12</v>
      </c>
      <c r="D103" s="222" t="s">
        <v>61</v>
      </c>
      <c r="E103" s="256" t="s">
        <v>40</v>
      </c>
    </row>
    <row r="104" spans="1:5" x14ac:dyDescent="0.35">
      <c r="A104" s="255">
        <v>101</v>
      </c>
      <c r="B104" s="35" t="s">
        <v>71</v>
      </c>
      <c r="C104" s="222">
        <v>30</v>
      </c>
      <c r="D104" s="222" t="s">
        <v>61</v>
      </c>
      <c r="E104" s="256" t="s">
        <v>40</v>
      </c>
    </row>
    <row r="105" spans="1:5" x14ac:dyDescent="0.35">
      <c r="A105" s="255">
        <v>102</v>
      </c>
      <c r="B105" s="35" t="s">
        <v>72</v>
      </c>
      <c r="C105" s="222">
        <v>52</v>
      </c>
      <c r="D105" s="222" t="s">
        <v>61</v>
      </c>
      <c r="E105" s="256" t="s">
        <v>40</v>
      </c>
    </row>
    <row r="106" spans="1:5" x14ac:dyDescent="0.35">
      <c r="A106" s="255">
        <v>103</v>
      </c>
      <c r="B106" s="35" t="s">
        <v>73</v>
      </c>
      <c r="C106" s="222">
        <v>48</v>
      </c>
      <c r="D106" s="222" t="s">
        <v>59</v>
      </c>
      <c r="E106" s="256" t="s">
        <v>40</v>
      </c>
    </row>
    <row r="107" spans="1:5" x14ac:dyDescent="0.35">
      <c r="A107" s="255">
        <v>104</v>
      </c>
      <c r="B107" s="35" t="s">
        <v>74</v>
      </c>
      <c r="C107" s="222">
        <v>43</v>
      </c>
      <c r="D107" s="222" t="s">
        <v>61</v>
      </c>
      <c r="E107" s="256" t="s">
        <v>40</v>
      </c>
    </row>
    <row r="108" spans="1:5" x14ac:dyDescent="0.35">
      <c r="A108" s="255">
        <v>105</v>
      </c>
      <c r="B108" s="35" t="s">
        <v>75</v>
      </c>
      <c r="C108" s="222">
        <v>11</v>
      </c>
      <c r="D108" s="222">
        <v>2003</v>
      </c>
      <c r="E108" s="256" t="s">
        <v>40</v>
      </c>
    </row>
    <row r="109" spans="1:5" x14ac:dyDescent="0.35">
      <c r="A109" s="255">
        <v>106</v>
      </c>
      <c r="B109" s="35" t="s">
        <v>76</v>
      </c>
      <c r="C109" s="222">
        <v>20</v>
      </c>
      <c r="D109" s="222">
        <v>2007</v>
      </c>
      <c r="E109" s="256" t="s">
        <v>40</v>
      </c>
    </row>
    <row r="110" spans="1:5" x14ac:dyDescent="0.35">
      <c r="A110" s="255">
        <v>107</v>
      </c>
      <c r="B110" s="35" t="s">
        <v>77</v>
      </c>
      <c r="C110" s="222">
        <v>20</v>
      </c>
      <c r="D110" s="222">
        <v>2006</v>
      </c>
      <c r="E110" s="256" t="s">
        <v>40</v>
      </c>
    </row>
    <row r="111" spans="1:5" x14ac:dyDescent="0.35">
      <c r="A111" s="255">
        <v>108</v>
      </c>
      <c r="B111" s="35" t="s">
        <v>78</v>
      </c>
      <c r="C111" s="222">
        <v>22</v>
      </c>
      <c r="D111" s="222" t="s">
        <v>43</v>
      </c>
      <c r="E111" s="256" t="s">
        <v>40</v>
      </c>
    </row>
    <row r="112" spans="1:5" x14ac:dyDescent="0.35">
      <c r="A112" s="255">
        <v>109</v>
      </c>
      <c r="B112" s="35" t="s">
        <v>79</v>
      </c>
      <c r="C112" s="222">
        <v>33</v>
      </c>
      <c r="D112" s="222" t="s">
        <v>43</v>
      </c>
      <c r="E112" s="256" t="s">
        <v>40</v>
      </c>
    </row>
    <row r="113" spans="1:5" x14ac:dyDescent="0.35">
      <c r="A113" s="255">
        <v>110</v>
      </c>
      <c r="B113" s="35" t="s">
        <v>80</v>
      </c>
      <c r="C113" s="222">
        <v>23</v>
      </c>
      <c r="D113" s="222" t="s">
        <v>43</v>
      </c>
      <c r="E113" s="256" t="s">
        <v>40</v>
      </c>
    </row>
    <row r="114" spans="1:5" x14ac:dyDescent="0.35">
      <c r="A114" s="255">
        <v>111</v>
      </c>
      <c r="B114" s="35" t="s">
        <v>81</v>
      </c>
      <c r="C114" s="222">
        <v>14</v>
      </c>
      <c r="D114" s="222" t="s">
        <v>43</v>
      </c>
      <c r="E114" s="256" t="s">
        <v>40</v>
      </c>
    </row>
    <row r="115" spans="1:5" x14ac:dyDescent="0.35">
      <c r="A115" s="255">
        <v>112</v>
      </c>
      <c r="B115" s="35" t="s">
        <v>82</v>
      </c>
      <c r="C115" s="222">
        <v>46</v>
      </c>
      <c r="D115" s="229" t="s">
        <v>43</v>
      </c>
      <c r="E115" s="256" t="s">
        <v>40</v>
      </c>
    </row>
    <row r="116" spans="1:5" x14ac:dyDescent="0.35">
      <c r="A116" s="255">
        <v>113</v>
      </c>
      <c r="B116" s="35" t="s">
        <v>83</v>
      </c>
      <c r="C116" s="222">
        <v>41</v>
      </c>
      <c r="D116" s="257">
        <v>2015</v>
      </c>
      <c r="E116" s="256" t="s">
        <v>40</v>
      </c>
    </row>
    <row r="117" spans="1:5" x14ac:dyDescent="0.35">
      <c r="A117" s="255">
        <v>114</v>
      </c>
      <c r="B117" s="35" t="s">
        <v>83</v>
      </c>
      <c r="C117" s="222">
        <v>46</v>
      </c>
      <c r="D117" s="229">
        <v>2016</v>
      </c>
      <c r="E117" s="256" t="s">
        <v>40</v>
      </c>
    </row>
    <row r="118" spans="1:5" x14ac:dyDescent="0.35">
      <c r="A118" s="255">
        <v>115</v>
      </c>
      <c r="B118" s="35" t="s">
        <v>83</v>
      </c>
      <c r="C118" s="222">
        <v>18</v>
      </c>
      <c r="D118" s="229">
        <v>2014</v>
      </c>
      <c r="E118" s="256" t="s">
        <v>40</v>
      </c>
    </row>
    <row r="119" spans="1:5" x14ac:dyDescent="0.35">
      <c r="A119" s="255">
        <v>116</v>
      </c>
      <c r="B119" s="35" t="s">
        <v>83</v>
      </c>
      <c r="C119" s="222">
        <v>100</v>
      </c>
      <c r="D119" s="229">
        <v>2007</v>
      </c>
      <c r="E119" s="256" t="s">
        <v>40</v>
      </c>
    </row>
    <row r="120" spans="1:5" x14ac:dyDescent="0.35">
      <c r="A120" s="255">
        <v>117</v>
      </c>
      <c r="B120" s="35" t="s">
        <v>84</v>
      </c>
      <c r="C120" s="222">
        <v>93</v>
      </c>
      <c r="D120" s="257" t="s">
        <v>43</v>
      </c>
      <c r="E120" s="256" t="s">
        <v>40</v>
      </c>
    </row>
    <row r="121" spans="1:5" x14ac:dyDescent="0.35">
      <c r="A121" s="255">
        <v>118</v>
      </c>
      <c r="B121" s="35" t="s">
        <v>85</v>
      </c>
      <c r="C121" s="222">
        <v>46</v>
      </c>
      <c r="D121" s="257" t="s">
        <v>86</v>
      </c>
      <c r="E121" s="256" t="s">
        <v>40</v>
      </c>
    </row>
    <row r="122" spans="1:5" x14ac:dyDescent="0.35">
      <c r="A122" s="255">
        <v>119</v>
      </c>
      <c r="B122" s="35" t="s">
        <v>87</v>
      </c>
      <c r="C122" s="222">
        <v>19</v>
      </c>
      <c r="D122" s="257">
        <v>2014</v>
      </c>
      <c r="E122" s="256" t="s">
        <v>40</v>
      </c>
    </row>
    <row r="123" spans="1:5" x14ac:dyDescent="0.35">
      <c r="A123" s="255">
        <v>120</v>
      </c>
      <c r="B123" s="35" t="s">
        <v>88</v>
      </c>
      <c r="C123" s="222">
        <v>36</v>
      </c>
      <c r="D123" s="257">
        <v>2015</v>
      </c>
      <c r="E123" s="256" t="s">
        <v>40</v>
      </c>
    </row>
    <row r="124" spans="1:5" x14ac:dyDescent="0.35">
      <c r="A124" s="255">
        <v>121</v>
      </c>
      <c r="B124" s="35" t="s">
        <v>89</v>
      </c>
      <c r="C124" s="222">
        <v>46</v>
      </c>
      <c r="D124" s="229">
        <v>2016</v>
      </c>
      <c r="E124" s="256" t="s">
        <v>40</v>
      </c>
    </row>
    <row r="125" spans="1:5" x14ac:dyDescent="0.35">
      <c r="A125" s="255">
        <v>122</v>
      </c>
      <c r="B125" s="35" t="s">
        <v>90</v>
      </c>
      <c r="C125" s="222">
        <v>27</v>
      </c>
      <c r="D125" s="229" t="s">
        <v>91</v>
      </c>
      <c r="E125" s="256" t="s">
        <v>40</v>
      </c>
    </row>
    <row r="126" spans="1:5" x14ac:dyDescent="0.35">
      <c r="A126" s="255">
        <v>123</v>
      </c>
      <c r="B126" s="35" t="s">
        <v>92</v>
      </c>
      <c r="C126" s="222">
        <v>35</v>
      </c>
      <c r="D126" s="222" t="s">
        <v>93</v>
      </c>
      <c r="E126" s="256" t="s">
        <v>40</v>
      </c>
    </row>
    <row r="127" spans="1:5" x14ac:dyDescent="0.35">
      <c r="A127" s="255">
        <v>124</v>
      </c>
      <c r="B127" s="35" t="s">
        <v>94</v>
      </c>
      <c r="C127" s="222">
        <v>14</v>
      </c>
      <c r="D127" s="222" t="s">
        <v>95</v>
      </c>
      <c r="E127" s="256" t="s">
        <v>40</v>
      </c>
    </row>
    <row r="128" spans="1:5" x14ac:dyDescent="0.35">
      <c r="A128" s="255">
        <v>125</v>
      </c>
      <c r="B128" s="35" t="s">
        <v>96</v>
      </c>
      <c r="C128" s="222">
        <v>23</v>
      </c>
      <c r="D128" s="222" t="s">
        <v>97</v>
      </c>
      <c r="E128" s="256" t="s">
        <v>40</v>
      </c>
    </row>
    <row r="129" spans="1:5" x14ac:dyDescent="0.35">
      <c r="A129" s="255">
        <v>126</v>
      </c>
      <c r="B129" s="35" t="s">
        <v>98</v>
      </c>
      <c r="C129" s="222">
        <v>16</v>
      </c>
      <c r="D129" s="222" t="s">
        <v>97</v>
      </c>
      <c r="E129" s="256" t="s">
        <v>40</v>
      </c>
    </row>
    <row r="130" spans="1:5" x14ac:dyDescent="0.35">
      <c r="A130" s="255">
        <v>127</v>
      </c>
      <c r="B130" s="35" t="s">
        <v>99</v>
      </c>
      <c r="C130" s="222">
        <v>102</v>
      </c>
      <c r="D130" s="222">
        <v>2012</v>
      </c>
      <c r="E130" s="256" t="s">
        <v>40</v>
      </c>
    </row>
    <row r="131" spans="1:5" x14ac:dyDescent="0.35">
      <c r="A131" s="255">
        <v>128</v>
      </c>
      <c r="B131" s="35" t="s">
        <v>100</v>
      </c>
      <c r="C131" s="222">
        <v>15</v>
      </c>
      <c r="D131" s="222" t="s">
        <v>43</v>
      </c>
      <c r="E131" s="256" t="s">
        <v>40</v>
      </c>
    </row>
    <row r="132" spans="1:5" x14ac:dyDescent="0.35">
      <c r="A132" s="255">
        <v>129</v>
      </c>
      <c r="B132" s="35" t="s">
        <v>101</v>
      </c>
      <c r="C132" s="222">
        <v>9</v>
      </c>
      <c r="D132" s="222" t="s">
        <v>43</v>
      </c>
      <c r="E132" s="256" t="s">
        <v>40</v>
      </c>
    </row>
    <row r="133" spans="1:5" x14ac:dyDescent="0.35">
      <c r="A133" s="255">
        <v>130</v>
      </c>
      <c r="B133" s="35" t="s">
        <v>102</v>
      </c>
      <c r="C133" s="222">
        <v>14</v>
      </c>
      <c r="D133" s="222" t="s">
        <v>43</v>
      </c>
      <c r="E133" s="256" t="s">
        <v>40</v>
      </c>
    </row>
    <row r="134" spans="1:5" x14ac:dyDescent="0.35">
      <c r="A134" s="255">
        <v>131</v>
      </c>
      <c r="B134" s="35" t="s">
        <v>103</v>
      </c>
      <c r="C134" s="222">
        <v>10</v>
      </c>
      <c r="D134" s="222" t="s">
        <v>43</v>
      </c>
      <c r="E134" s="256" t="s">
        <v>40</v>
      </c>
    </row>
    <row r="135" spans="1:5" x14ac:dyDescent="0.35">
      <c r="A135" s="255">
        <v>132</v>
      </c>
      <c r="B135" s="35" t="s">
        <v>104</v>
      </c>
      <c r="C135" s="222">
        <v>12</v>
      </c>
      <c r="D135" s="222" t="s">
        <v>43</v>
      </c>
      <c r="E135" s="256" t="s">
        <v>40</v>
      </c>
    </row>
    <row r="136" spans="1:5" x14ac:dyDescent="0.35">
      <c r="A136" s="255">
        <v>133</v>
      </c>
      <c r="B136" s="35" t="s">
        <v>105</v>
      </c>
      <c r="C136" s="222">
        <v>12</v>
      </c>
      <c r="D136" s="222" t="s">
        <v>43</v>
      </c>
      <c r="E136" s="256" t="s">
        <v>40</v>
      </c>
    </row>
    <row r="137" spans="1:5" x14ac:dyDescent="0.35">
      <c r="A137" s="255">
        <v>134</v>
      </c>
      <c r="B137" s="35" t="s">
        <v>106</v>
      </c>
      <c r="C137" s="222">
        <v>18</v>
      </c>
      <c r="D137" s="222" t="s">
        <v>43</v>
      </c>
      <c r="E137" s="256" t="s">
        <v>40</v>
      </c>
    </row>
    <row r="138" spans="1:5" x14ac:dyDescent="0.35">
      <c r="A138" s="255">
        <v>135</v>
      </c>
      <c r="B138" s="35" t="s">
        <v>107</v>
      </c>
      <c r="C138" s="222">
        <v>16</v>
      </c>
      <c r="D138" s="222" t="s">
        <v>43</v>
      </c>
      <c r="E138" s="256" t="s">
        <v>40</v>
      </c>
    </row>
    <row r="139" spans="1:5" x14ac:dyDescent="0.35">
      <c r="A139" s="255">
        <v>136</v>
      </c>
      <c r="B139" s="35" t="s">
        <v>108</v>
      </c>
      <c r="C139" s="222">
        <v>32</v>
      </c>
      <c r="D139" s="222" t="s">
        <v>109</v>
      </c>
      <c r="E139" s="256" t="s">
        <v>40</v>
      </c>
    </row>
    <row r="140" spans="1:5" x14ac:dyDescent="0.35">
      <c r="A140" s="255">
        <v>137</v>
      </c>
      <c r="B140" s="35" t="s">
        <v>110</v>
      </c>
      <c r="C140" s="222">
        <v>10</v>
      </c>
      <c r="D140" s="222">
        <v>2018</v>
      </c>
      <c r="E140" s="256" t="s">
        <v>40</v>
      </c>
    </row>
    <row r="141" spans="1:5" x14ac:dyDescent="0.35">
      <c r="A141" s="255">
        <v>138</v>
      </c>
      <c r="B141" s="35" t="s">
        <v>111</v>
      </c>
      <c r="C141" s="222">
        <v>75</v>
      </c>
      <c r="D141" s="222" t="s">
        <v>112</v>
      </c>
      <c r="E141" s="256" t="s">
        <v>40</v>
      </c>
    </row>
    <row r="142" spans="1:5" x14ac:dyDescent="0.35">
      <c r="A142" s="255">
        <v>139</v>
      </c>
      <c r="B142" s="35" t="s">
        <v>113</v>
      </c>
      <c r="C142" s="222">
        <v>32</v>
      </c>
      <c r="D142" s="222" t="s">
        <v>114</v>
      </c>
      <c r="E142" s="256" t="s">
        <v>40</v>
      </c>
    </row>
    <row r="143" spans="1:5" x14ac:dyDescent="0.35">
      <c r="A143" s="255">
        <v>140</v>
      </c>
      <c r="B143" s="35" t="s">
        <v>115</v>
      </c>
      <c r="C143" s="222">
        <v>34</v>
      </c>
      <c r="D143" s="222" t="s">
        <v>116</v>
      </c>
      <c r="E143" s="256" t="s">
        <v>40</v>
      </c>
    </row>
    <row r="144" spans="1:5" x14ac:dyDescent="0.35">
      <c r="A144" s="255">
        <v>141</v>
      </c>
      <c r="B144" s="221" t="s">
        <v>117</v>
      </c>
      <c r="C144" s="222">
        <v>22</v>
      </c>
      <c r="D144" s="222" t="s">
        <v>116</v>
      </c>
      <c r="E144" s="256" t="s">
        <v>40</v>
      </c>
    </row>
    <row r="145" spans="1:5" x14ac:dyDescent="0.35">
      <c r="A145" s="259">
        <v>142</v>
      </c>
      <c r="B145" s="223" t="s">
        <v>264</v>
      </c>
      <c r="C145" s="224" t="s">
        <v>265</v>
      </c>
      <c r="D145" s="224">
        <v>2012</v>
      </c>
      <c r="E145" s="260" t="s">
        <v>266</v>
      </c>
    </row>
    <row r="146" spans="1:5" x14ac:dyDescent="0.35">
      <c r="A146" s="259">
        <v>143</v>
      </c>
      <c r="B146" s="223" t="s">
        <v>267</v>
      </c>
      <c r="C146" s="224" t="s">
        <v>268</v>
      </c>
      <c r="D146" s="224">
        <v>2013</v>
      </c>
      <c r="E146" s="260" t="s">
        <v>266</v>
      </c>
    </row>
    <row r="147" spans="1:5" x14ac:dyDescent="0.35">
      <c r="A147" s="259">
        <v>144</v>
      </c>
      <c r="B147" s="223" t="s">
        <v>269</v>
      </c>
      <c r="C147" s="224" t="s">
        <v>270</v>
      </c>
      <c r="D147" s="224">
        <v>2013</v>
      </c>
      <c r="E147" s="260" t="s">
        <v>266</v>
      </c>
    </row>
    <row r="148" spans="1:5" x14ac:dyDescent="0.35">
      <c r="A148" s="259">
        <v>145</v>
      </c>
      <c r="B148" s="223" t="s">
        <v>271</v>
      </c>
      <c r="C148" s="224" t="s">
        <v>272</v>
      </c>
      <c r="D148" s="224">
        <v>2014</v>
      </c>
      <c r="E148" s="260" t="s">
        <v>266</v>
      </c>
    </row>
    <row r="149" spans="1:5" x14ac:dyDescent="0.35">
      <c r="A149" s="259">
        <v>146</v>
      </c>
      <c r="B149" s="223" t="s">
        <v>273</v>
      </c>
      <c r="C149" s="224" t="s">
        <v>274</v>
      </c>
      <c r="D149" s="224">
        <v>2018</v>
      </c>
      <c r="E149" s="260" t="s">
        <v>266</v>
      </c>
    </row>
    <row r="150" spans="1:5" x14ac:dyDescent="0.35">
      <c r="A150" s="259">
        <v>147</v>
      </c>
      <c r="B150" s="223" t="s">
        <v>275</v>
      </c>
      <c r="C150" s="224" t="s">
        <v>276</v>
      </c>
      <c r="D150" s="224">
        <v>2014</v>
      </c>
      <c r="E150" s="260" t="s">
        <v>266</v>
      </c>
    </row>
    <row r="151" spans="1:5" x14ac:dyDescent="0.35">
      <c r="A151" s="259">
        <v>148</v>
      </c>
      <c r="B151" s="223" t="s">
        <v>277</v>
      </c>
      <c r="C151" s="224" t="s">
        <v>278</v>
      </c>
      <c r="D151" s="224">
        <v>2012</v>
      </c>
      <c r="E151" s="260" t="s">
        <v>266</v>
      </c>
    </row>
    <row r="152" spans="1:5" x14ac:dyDescent="0.35">
      <c r="A152" s="259">
        <v>149</v>
      </c>
      <c r="B152" s="223" t="s">
        <v>279</v>
      </c>
      <c r="C152" s="224" t="s">
        <v>280</v>
      </c>
      <c r="D152" s="224">
        <v>2018</v>
      </c>
      <c r="E152" s="260" t="s">
        <v>266</v>
      </c>
    </row>
    <row r="153" spans="1:5" x14ac:dyDescent="0.35">
      <c r="A153" s="259">
        <v>150</v>
      </c>
      <c r="B153" s="223" t="s">
        <v>281</v>
      </c>
      <c r="C153" s="224" t="s">
        <v>282</v>
      </c>
      <c r="D153" s="224">
        <v>2020</v>
      </c>
      <c r="E153" s="260" t="s">
        <v>266</v>
      </c>
    </row>
    <row r="154" spans="1:5" x14ac:dyDescent="0.35">
      <c r="A154" s="259">
        <v>151</v>
      </c>
      <c r="B154" s="223" t="s">
        <v>283</v>
      </c>
      <c r="C154" s="224" t="s">
        <v>284</v>
      </c>
      <c r="D154" s="224">
        <v>2021</v>
      </c>
      <c r="E154" s="260" t="s">
        <v>266</v>
      </c>
    </row>
    <row r="155" spans="1:5" ht="15" thickBot="1" x14ac:dyDescent="0.4">
      <c r="A155" s="261">
        <v>152</v>
      </c>
      <c r="B155" s="262" t="s">
        <v>285</v>
      </c>
      <c r="C155" s="263" t="s">
        <v>286</v>
      </c>
      <c r="D155" s="263">
        <v>2021</v>
      </c>
      <c r="E155" s="264" t="s">
        <v>266</v>
      </c>
    </row>
    <row r="156" spans="1:5" x14ac:dyDescent="0.35">
      <c r="B156" s="220"/>
    </row>
    <row r="157" spans="1:5" x14ac:dyDescent="0.35">
      <c r="B157" s="455" t="s">
        <v>118</v>
      </c>
      <c r="C157" s="455"/>
      <c r="D157"/>
    </row>
  </sheetData>
  <mergeCells count="3">
    <mergeCell ref="A1:F1"/>
    <mergeCell ref="F6:G6"/>
    <mergeCell ref="B157:C15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A9ADB-FC76-4D7E-858B-607469053163}">
  <dimension ref="B1:M18"/>
  <sheetViews>
    <sheetView workbookViewId="0">
      <selection activeCell="L7" sqref="L7"/>
    </sheetView>
  </sheetViews>
  <sheetFormatPr defaultRowHeight="14.5" x14ac:dyDescent="0.35"/>
  <cols>
    <col min="2" max="2" width="27.90625" customWidth="1"/>
    <col min="3" max="3" width="11.90625" hidden="1" customWidth="1"/>
    <col min="4" max="4" width="12.7265625" customWidth="1"/>
    <col min="5" max="5" width="11.90625" customWidth="1"/>
    <col min="6" max="6" width="12.08984375" customWidth="1"/>
    <col min="7" max="7" width="12.1796875" customWidth="1"/>
    <col min="8" max="8" width="12.36328125" customWidth="1"/>
    <col min="9" max="9" width="10.7265625" customWidth="1"/>
  </cols>
  <sheetData>
    <row r="1" spans="2:13" ht="18.5" x14ac:dyDescent="0.35">
      <c r="B1" s="106" t="s">
        <v>287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2:13" ht="15.5" x14ac:dyDescent="0.35">
      <c r="C2" s="456"/>
      <c r="D2" s="456"/>
      <c r="E2" s="456"/>
      <c r="F2" s="456"/>
      <c r="G2" s="456"/>
      <c r="H2" s="456"/>
      <c r="I2" s="456"/>
      <c r="J2" s="456"/>
      <c r="K2" s="456"/>
      <c r="L2" s="5"/>
    </row>
    <row r="3" spans="2:13" ht="31" customHeight="1" x14ac:dyDescent="0.35">
      <c r="B3" s="118" t="s">
        <v>119</v>
      </c>
      <c r="C3" s="107">
        <v>2012</v>
      </c>
      <c r="D3" s="118">
        <v>2013</v>
      </c>
      <c r="E3" s="108">
        <v>2014</v>
      </c>
      <c r="F3" s="118">
        <v>2015</v>
      </c>
      <c r="G3" s="118">
        <v>2016</v>
      </c>
      <c r="H3" s="109">
        <v>2017</v>
      </c>
      <c r="I3" s="7"/>
      <c r="J3" s="7"/>
      <c r="K3" s="7"/>
      <c r="L3" s="7"/>
    </row>
    <row r="4" spans="2:13" ht="24" customHeight="1" x14ac:dyDescent="0.35">
      <c r="B4" s="124" t="s">
        <v>40</v>
      </c>
      <c r="C4" s="457"/>
      <c r="D4" s="458"/>
      <c r="E4" s="458"/>
      <c r="F4" s="458"/>
      <c r="G4" s="458"/>
      <c r="H4" s="459"/>
      <c r="I4" s="5"/>
      <c r="J4" s="5"/>
      <c r="K4" s="5"/>
      <c r="L4" s="5"/>
    </row>
    <row r="5" spans="2:13" ht="23.5" customHeight="1" x14ac:dyDescent="0.35">
      <c r="B5" s="125" t="s">
        <v>120</v>
      </c>
      <c r="C5" s="121">
        <v>0</v>
      </c>
      <c r="D5" s="122">
        <v>367</v>
      </c>
      <c r="E5" s="123">
        <v>70</v>
      </c>
      <c r="F5" s="122">
        <v>110</v>
      </c>
      <c r="G5" s="122">
        <v>214</v>
      </c>
      <c r="H5" s="113">
        <v>214</v>
      </c>
      <c r="I5" s="5"/>
      <c r="J5" s="5"/>
      <c r="K5" s="5"/>
      <c r="L5" s="5"/>
    </row>
    <row r="6" spans="2:13" ht="28.5" customHeight="1" x14ac:dyDescent="0.35">
      <c r="B6" s="125" t="s">
        <v>121</v>
      </c>
      <c r="C6" s="110">
        <v>0</v>
      </c>
      <c r="D6" s="119">
        <v>301</v>
      </c>
      <c r="E6" s="111">
        <v>110</v>
      </c>
      <c r="F6" s="119">
        <v>140</v>
      </c>
      <c r="G6" s="119">
        <v>272</v>
      </c>
      <c r="H6" s="112">
        <v>272</v>
      </c>
      <c r="I6" s="5"/>
      <c r="J6" s="5"/>
      <c r="K6" s="5"/>
      <c r="L6" s="5"/>
    </row>
    <row r="7" spans="2:13" ht="27.5" customHeight="1" x14ac:dyDescent="0.35">
      <c r="B7" s="126" t="s">
        <v>122</v>
      </c>
      <c r="C7" s="114">
        <v>0</v>
      </c>
      <c r="D7" s="120">
        <v>668</v>
      </c>
      <c r="E7" s="115">
        <v>180</v>
      </c>
      <c r="F7" s="120">
        <v>250</v>
      </c>
      <c r="G7" s="120">
        <v>486</v>
      </c>
      <c r="H7" s="117">
        <v>486</v>
      </c>
      <c r="I7" s="5"/>
      <c r="J7" s="5"/>
      <c r="K7" s="5"/>
      <c r="L7" s="5"/>
    </row>
    <row r="8" spans="2:13" ht="23.5" customHeight="1" x14ac:dyDescent="0.35">
      <c r="B8" s="124" t="s">
        <v>123</v>
      </c>
      <c r="C8" s="457"/>
      <c r="D8" s="458"/>
      <c r="E8" s="458"/>
      <c r="F8" s="458"/>
      <c r="G8" s="458"/>
      <c r="H8" s="459"/>
      <c r="I8" s="5"/>
      <c r="J8" s="5"/>
      <c r="K8" s="5"/>
      <c r="L8" s="5"/>
    </row>
    <row r="9" spans="2:13" ht="28.5" customHeight="1" x14ac:dyDescent="0.35">
      <c r="B9" s="125" t="s">
        <v>120</v>
      </c>
      <c r="C9" s="121">
        <v>100</v>
      </c>
      <c r="D9" s="122">
        <v>287</v>
      </c>
      <c r="E9" s="123">
        <v>302</v>
      </c>
      <c r="F9" s="122">
        <f>22+24+20+3+10+21</f>
        <v>100</v>
      </c>
      <c r="G9" s="122" t="s">
        <v>16</v>
      </c>
      <c r="H9" s="230" t="s">
        <v>16</v>
      </c>
      <c r="I9" s="5"/>
      <c r="J9" s="5"/>
      <c r="K9" s="5"/>
      <c r="L9" s="5"/>
    </row>
    <row r="10" spans="2:13" ht="28.5" customHeight="1" x14ac:dyDescent="0.35">
      <c r="B10" s="125" t="s">
        <v>121</v>
      </c>
      <c r="C10" s="110">
        <v>0</v>
      </c>
      <c r="D10" s="119">
        <v>43</v>
      </c>
      <c r="E10" s="111">
        <v>42</v>
      </c>
      <c r="F10" s="119">
        <f>4+5</f>
        <v>9</v>
      </c>
      <c r="G10" s="119" t="s">
        <v>16</v>
      </c>
      <c r="H10" s="231" t="s">
        <v>16</v>
      </c>
      <c r="I10" s="5"/>
      <c r="J10" s="5"/>
      <c r="K10" s="5"/>
      <c r="L10" s="5"/>
    </row>
    <row r="11" spans="2:13" ht="28" customHeight="1" x14ac:dyDescent="0.35">
      <c r="B11" s="126" t="s">
        <v>122</v>
      </c>
      <c r="C11" s="114"/>
      <c r="D11" s="120">
        <v>330</v>
      </c>
      <c r="E11" s="115">
        <f>SUM(E9:E10)</f>
        <v>344</v>
      </c>
      <c r="F11" s="120">
        <f>SUM(F9:F10)</f>
        <v>109</v>
      </c>
      <c r="G11" s="120" t="s">
        <v>16</v>
      </c>
      <c r="H11" s="232" t="s">
        <v>16</v>
      </c>
      <c r="I11" s="5"/>
      <c r="J11" s="5"/>
      <c r="K11" s="5"/>
      <c r="L11" s="5"/>
    </row>
    <row r="12" spans="2:13" ht="25" customHeight="1" x14ac:dyDescent="0.35">
      <c r="B12" s="124" t="s">
        <v>124</v>
      </c>
      <c r="C12" s="457"/>
      <c r="D12" s="458"/>
      <c r="E12" s="458"/>
      <c r="F12" s="458"/>
      <c r="G12" s="458"/>
      <c r="H12" s="459"/>
      <c r="I12" s="5"/>
      <c r="J12" s="5"/>
      <c r="K12" s="5"/>
      <c r="L12" s="5"/>
    </row>
    <row r="13" spans="2:13" ht="26" customHeight="1" x14ac:dyDescent="0.35">
      <c r="B13" s="125" t="s">
        <v>120</v>
      </c>
      <c r="C13" s="121">
        <v>53</v>
      </c>
      <c r="D13" s="122">
        <v>348</v>
      </c>
      <c r="E13" s="123">
        <v>160</v>
      </c>
      <c r="F13" s="122">
        <v>157</v>
      </c>
      <c r="G13" s="122">
        <v>519</v>
      </c>
      <c r="H13" s="113">
        <v>552</v>
      </c>
      <c r="I13" s="5"/>
      <c r="J13" s="5"/>
      <c r="K13" s="5"/>
      <c r="L13" s="5"/>
    </row>
    <row r="14" spans="2:13" ht="25.5" customHeight="1" x14ac:dyDescent="0.35">
      <c r="B14" s="125" t="s">
        <v>121</v>
      </c>
      <c r="C14" s="110">
        <v>47</v>
      </c>
      <c r="D14" s="119">
        <v>316</v>
      </c>
      <c r="E14" s="111">
        <v>149</v>
      </c>
      <c r="F14" s="119">
        <v>105</v>
      </c>
      <c r="G14" s="119">
        <v>252</v>
      </c>
      <c r="H14" s="112">
        <v>281</v>
      </c>
      <c r="I14" s="5"/>
      <c r="J14" s="5"/>
      <c r="K14" s="5"/>
      <c r="L14" s="5"/>
    </row>
    <row r="15" spans="2:13" ht="29" customHeight="1" x14ac:dyDescent="0.35">
      <c r="B15" s="126" t="s">
        <v>122</v>
      </c>
      <c r="C15" s="114">
        <v>100</v>
      </c>
      <c r="D15" s="120">
        <v>664</v>
      </c>
      <c r="E15" s="115">
        <f>SUM(E13:E14)</f>
        <v>309</v>
      </c>
      <c r="F15" s="120">
        <f>SUM(F13:F14)</f>
        <v>262</v>
      </c>
      <c r="G15" s="120">
        <v>771</v>
      </c>
      <c r="H15" s="116">
        <v>833</v>
      </c>
      <c r="I15" s="5"/>
      <c r="J15" s="5"/>
      <c r="K15" s="5"/>
      <c r="L15" s="5"/>
    </row>
    <row r="16" spans="2:13" ht="15.5" x14ac:dyDescent="0.35">
      <c r="B16" s="28"/>
      <c r="C16" s="6"/>
      <c r="D16" s="6"/>
      <c r="E16" s="6"/>
      <c r="F16" s="6"/>
      <c r="G16" s="6"/>
      <c r="H16" s="5"/>
      <c r="I16" s="5"/>
      <c r="J16" s="5"/>
      <c r="K16" s="5"/>
      <c r="L16" s="5"/>
    </row>
    <row r="17" spans="2:12" ht="15.5" x14ac:dyDescent="0.35">
      <c r="B17" s="28" t="s">
        <v>289</v>
      </c>
      <c r="C17" s="6"/>
      <c r="D17" s="6"/>
      <c r="E17" s="6"/>
      <c r="F17" s="6"/>
      <c r="G17" s="6"/>
      <c r="H17" s="5"/>
      <c r="I17" s="5"/>
      <c r="J17" s="5"/>
      <c r="K17" s="5"/>
      <c r="L17" s="5"/>
    </row>
    <row r="18" spans="2:12" ht="26.5" customHeight="1" x14ac:dyDescent="0.35">
      <c r="B18" s="270" t="s">
        <v>125</v>
      </c>
      <c r="C18" s="270"/>
      <c r="D18" s="270"/>
      <c r="E18" s="270"/>
      <c r="F18" s="270"/>
      <c r="G18" s="4"/>
      <c r="H18" s="5"/>
      <c r="I18" s="5"/>
      <c r="J18" s="5"/>
      <c r="K18" s="5"/>
      <c r="L18" s="5"/>
    </row>
  </sheetData>
  <mergeCells count="4">
    <mergeCell ref="C2:K2"/>
    <mergeCell ref="C8:H8"/>
    <mergeCell ref="C12:H12"/>
    <mergeCell ref="C4:H4"/>
  </mergeCells>
  <pageMargins left="0.7" right="0.7" top="0.75" bottom="0.75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E73AE-F6FA-4419-8EAA-B5FB558352CD}">
  <dimension ref="B1:M17"/>
  <sheetViews>
    <sheetView workbookViewId="0">
      <selection activeCell="B4" sqref="B4"/>
    </sheetView>
  </sheetViews>
  <sheetFormatPr defaultRowHeight="14.5" x14ac:dyDescent="0.35"/>
  <cols>
    <col min="2" max="2" width="23.08984375" customWidth="1"/>
    <col min="3" max="3" width="12.453125" hidden="1" customWidth="1"/>
    <col min="4" max="4" width="12.7265625" hidden="1" customWidth="1"/>
    <col min="5" max="5" width="12.453125" hidden="1" customWidth="1"/>
    <col min="6" max="6" width="12.6328125" customWidth="1"/>
    <col min="7" max="7" width="12.81640625" customWidth="1"/>
    <col min="8" max="9" width="12.6328125" bestFit="1" customWidth="1"/>
    <col min="10" max="10" width="9.453125" bestFit="1" customWidth="1"/>
  </cols>
  <sheetData>
    <row r="1" spans="2:13" ht="21" x14ac:dyDescent="0.35">
      <c r="B1" s="105" t="s">
        <v>303</v>
      </c>
      <c r="C1" s="105"/>
      <c r="D1" s="105"/>
      <c r="E1" s="105"/>
      <c r="F1" s="105"/>
      <c r="G1" s="105"/>
      <c r="H1" s="105"/>
      <c r="I1" s="105"/>
      <c r="J1" s="105"/>
      <c r="K1" s="8"/>
      <c r="L1" s="8"/>
      <c r="M1" s="8"/>
    </row>
    <row r="2" spans="2:13" ht="16" thickBot="1" x14ac:dyDescent="0.4">
      <c r="B2" s="460" t="s">
        <v>288</v>
      </c>
      <c r="C2" s="460"/>
      <c r="D2" s="460"/>
      <c r="E2" s="460"/>
      <c r="F2" s="460"/>
      <c r="G2" s="460"/>
      <c r="H2" s="460"/>
      <c r="I2" s="460"/>
      <c r="J2" s="460"/>
      <c r="K2" s="8"/>
      <c r="L2" s="8"/>
      <c r="M2" s="8"/>
    </row>
    <row r="3" spans="2:13" ht="32.5" customHeight="1" thickBot="1" x14ac:dyDescent="0.4">
      <c r="B3" s="127" t="s">
        <v>126</v>
      </c>
      <c r="C3" s="128">
        <v>2017</v>
      </c>
      <c r="D3" s="129">
        <v>2018</v>
      </c>
      <c r="E3" s="128">
        <v>2019</v>
      </c>
      <c r="F3" s="128">
        <v>2020</v>
      </c>
      <c r="G3" s="130">
        <v>2021</v>
      </c>
      <c r="H3" s="199">
        <v>2022</v>
      </c>
      <c r="I3" s="199">
        <v>2023</v>
      </c>
      <c r="J3" s="199">
        <v>2024</v>
      </c>
      <c r="K3" s="8"/>
      <c r="L3" s="8"/>
      <c r="M3" s="8"/>
    </row>
    <row r="4" spans="2:13" ht="29.5" customHeight="1" thickBot="1" x14ac:dyDescent="0.5">
      <c r="B4" s="131" t="s">
        <v>127</v>
      </c>
      <c r="C4" s="132">
        <v>8934</v>
      </c>
      <c r="D4" s="133">
        <v>8251</v>
      </c>
      <c r="E4" s="134">
        <v>7797</v>
      </c>
      <c r="F4" s="134">
        <v>7576</v>
      </c>
      <c r="G4" s="135">
        <v>7434</v>
      </c>
      <c r="H4" s="233">
        <v>6799</v>
      </c>
      <c r="I4" s="233">
        <v>5396</v>
      </c>
      <c r="J4" s="233">
        <v>5525</v>
      </c>
      <c r="K4" s="8"/>
      <c r="L4" s="8"/>
      <c r="M4" s="8"/>
    </row>
    <row r="5" spans="2:13" ht="29" customHeight="1" thickBot="1" x14ac:dyDescent="0.5">
      <c r="B5" s="131" t="s">
        <v>128</v>
      </c>
      <c r="C5" s="132">
        <v>0</v>
      </c>
      <c r="D5" s="132">
        <v>0</v>
      </c>
      <c r="E5" s="136">
        <v>0</v>
      </c>
      <c r="F5" s="136">
        <v>0</v>
      </c>
      <c r="G5" s="137">
        <v>0</v>
      </c>
      <c r="H5" s="233">
        <v>0</v>
      </c>
      <c r="I5" s="233">
        <v>0</v>
      </c>
      <c r="J5" s="233">
        <v>0</v>
      </c>
      <c r="K5" s="8"/>
      <c r="L5" s="8"/>
      <c r="M5" s="8"/>
    </row>
    <row r="6" spans="2:13" ht="30.5" customHeight="1" thickBot="1" x14ac:dyDescent="0.5">
      <c r="B6" s="131" t="s">
        <v>184</v>
      </c>
      <c r="C6" s="132">
        <v>3</v>
      </c>
      <c r="D6" s="132"/>
      <c r="E6" s="136"/>
      <c r="F6" s="136">
        <v>1</v>
      </c>
      <c r="G6" s="135">
        <v>1</v>
      </c>
      <c r="H6" s="234">
        <v>1</v>
      </c>
      <c r="I6" s="234">
        <v>1</v>
      </c>
      <c r="J6" s="234">
        <v>0</v>
      </c>
      <c r="K6" s="8"/>
      <c r="L6" s="8"/>
      <c r="M6" s="8"/>
    </row>
    <row r="7" spans="2:13" ht="30.5" customHeight="1" thickBot="1" x14ac:dyDescent="0.5">
      <c r="B7" s="138" t="s">
        <v>129</v>
      </c>
      <c r="C7" s="139">
        <v>0</v>
      </c>
      <c r="D7" s="139">
        <v>0</v>
      </c>
      <c r="E7" s="140">
        <v>0</v>
      </c>
      <c r="F7" s="140">
        <v>0</v>
      </c>
      <c r="G7" s="141">
        <v>0</v>
      </c>
      <c r="H7" s="233">
        <v>0</v>
      </c>
      <c r="I7" s="233">
        <v>0</v>
      </c>
      <c r="J7" s="233">
        <v>0</v>
      </c>
      <c r="K7" s="8"/>
      <c r="L7" s="8"/>
      <c r="M7" s="8"/>
    </row>
    <row r="8" spans="2:13" ht="30.5" customHeight="1" thickBot="1" x14ac:dyDescent="0.5">
      <c r="B8" s="131" t="s">
        <v>130</v>
      </c>
      <c r="C8" s="132">
        <v>0</v>
      </c>
      <c r="D8" s="132">
        <v>0</v>
      </c>
      <c r="E8" s="136">
        <v>0</v>
      </c>
      <c r="F8" s="136">
        <v>0</v>
      </c>
      <c r="G8" s="137">
        <v>0</v>
      </c>
      <c r="H8" s="235">
        <v>0</v>
      </c>
      <c r="I8" s="235">
        <v>0</v>
      </c>
      <c r="J8" s="235">
        <v>0</v>
      </c>
      <c r="K8" s="8"/>
      <c r="L8" s="8"/>
      <c r="M8" s="8"/>
    </row>
    <row r="9" spans="2:13" ht="30.5" customHeight="1" thickBot="1" x14ac:dyDescent="0.5">
      <c r="B9" s="131" t="s">
        <v>131</v>
      </c>
      <c r="C9" s="132">
        <v>321</v>
      </c>
      <c r="D9" s="134">
        <v>253</v>
      </c>
      <c r="E9" s="134">
        <v>159</v>
      </c>
      <c r="F9" s="134">
        <v>137</v>
      </c>
      <c r="G9" s="135">
        <v>72</v>
      </c>
      <c r="H9" s="235">
        <v>74</v>
      </c>
      <c r="I9" s="235">
        <v>76</v>
      </c>
      <c r="J9" s="235">
        <v>50</v>
      </c>
      <c r="K9" s="8"/>
      <c r="L9" s="8"/>
      <c r="M9" s="8"/>
    </row>
    <row r="10" spans="2:13" ht="29" customHeight="1" thickBot="1" x14ac:dyDescent="0.5">
      <c r="B10" s="131" t="s">
        <v>132</v>
      </c>
      <c r="C10" s="132">
        <v>523</v>
      </c>
      <c r="D10" s="142">
        <v>445</v>
      </c>
      <c r="E10" s="142">
        <v>311</v>
      </c>
      <c r="F10" s="136">
        <v>283</v>
      </c>
      <c r="G10" s="137">
        <v>127</v>
      </c>
      <c r="H10" s="233">
        <v>118</v>
      </c>
      <c r="I10" s="233">
        <v>95</v>
      </c>
      <c r="J10" s="233">
        <v>40</v>
      </c>
      <c r="K10" s="8"/>
      <c r="L10" s="8"/>
      <c r="M10" s="8"/>
    </row>
    <row r="11" spans="2:13" ht="29" customHeight="1" thickBot="1" x14ac:dyDescent="0.5">
      <c r="B11" s="131" t="s">
        <v>133</v>
      </c>
      <c r="C11" s="132">
        <v>23718</v>
      </c>
      <c r="D11" s="134">
        <v>21864</v>
      </c>
      <c r="E11" s="134">
        <v>26492</v>
      </c>
      <c r="F11" s="134">
        <v>25592</v>
      </c>
      <c r="G11" s="137">
        <v>32713</v>
      </c>
      <c r="H11" s="307">
        <v>19658</v>
      </c>
      <c r="I11" s="307">
        <v>11392</v>
      </c>
      <c r="J11" s="307">
        <v>25228</v>
      </c>
      <c r="K11" s="8"/>
      <c r="L11" s="8"/>
      <c r="M11" s="8"/>
    </row>
    <row r="12" spans="2:13" ht="27" customHeight="1" thickBot="1" x14ac:dyDescent="0.5">
      <c r="B12" s="131" t="s">
        <v>134</v>
      </c>
      <c r="C12" s="132">
        <v>0</v>
      </c>
      <c r="D12" s="132">
        <v>0</v>
      </c>
      <c r="E12" s="136">
        <v>0</v>
      </c>
      <c r="F12" s="136">
        <v>0</v>
      </c>
      <c r="G12" s="137">
        <v>0</v>
      </c>
      <c r="H12" s="235">
        <v>0</v>
      </c>
      <c r="I12" s="235">
        <v>0</v>
      </c>
      <c r="J12" s="235">
        <v>0</v>
      </c>
      <c r="K12" s="8"/>
      <c r="L12" s="8"/>
      <c r="M12" s="8"/>
    </row>
    <row r="13" spans="2:13" ht="27" customHeight="1" thickBot="1" x14ac:dyDescent="0.5">
      <c r="B13" s="131" t="s">
        <v>135</v>
      </c>
      <c r="C13" s="132">
        <v>34</v>
      </c>
      <c r="D13" s="134">
        <v>32</v>
      </c>
      <c r="E13" s="134">
        <v>38</v>
      </c>
      <c r="F13" s="134">
        <v>11</v>
      </c>
      <c r="G13" s="137">
        <v>33</v>
      </c>
      <c r="H13" s="235">
        <v>38</v>
      </c>
      <c r="I13" s="235">
        <v>19</v>
      </c>
      <c r="J13" s="235">
        <v>11</v>
      </c>
      <c r="K13" s="8"/>
      <c r="L13" s="8"/>
      <c r="M13" s="8"/>
    </row>
    <row r="14" spans="2:13" ht="28" customHeight="1" thickBot="1" x14ac:dyDescent="0.5">
      <c r="B14" s="131" t="s">
        <v>136</v>
      </c>
      <c r="C14" s="132">
        <v>1657</v>
      </c>
      <c r="D14" s="134">
        <v>1567</v>
      </c>
      <c r="E14" s="134">
        <v>1421</v>
      </c>
      <c r="F14" s="134">
        <v>1520</v>
      </c>
      <c r="G14" s="137">
        <v>1724</v>
      </c>
      <c r="H14" s="235">
        <v>0</v>
      </c>
      <c r="I14" s="235">
        <v>0</v>
      </c>
      <c r="J14" s="235">
        <v>0</v>
      </c>
      <c r="K14" s="8"/>
      <c r="L14" s="8"/>
      <c r="M14" s="8"/>
    </row>
    <row r="15" spans="2:13" ht="29.5" customHeight="1" thickBot="1" x14ac:dyDescent="0.5">
      <c r="B15" s="138" t="s">
        <v>137</v>
      </c>
      <c r="C15" s="143">
        <v>778</v>
      </c>
      <c r="D15" s="144">
        <v>748</v>
      </c>
      <c r="E15" s="144">
        <v>639</v>
      </c>
      <c r="F15" s="144">
        <v>797</v>
      </c>
      <c r="G15" s="141">
        <v>931</v>
      </c>
      <c r="H15" s="235">
        <v>0</v>
      </c>
      <c r="I15" s="235">
        <v>0</v>
      </c>
      <c r="J15" s="235">
        <v>0</v>
      </c>
      <c r="K15" s="8"/>
      <c r="L15" s="8"/>
      <c r="M15" s="8"/>
    </row>
    <row r="16" spans="2:13" ht="15.5" x14ac:dyDescent="0.35">
      <c r="H16" s="9"/>
      <c r="I16" s="8"/>
      <c r="J16" s="8"/>
      <c r="K16" s="8"/>
      <c r="L16" s="8"/>
      <c r="M16" s="8"/>
    </row>
    <row r="17" spans="2:6" ht="18.5" x14ac:dyDescent="0.35">
      <c r="B17" s="400" t="s">
        <v>304</v>
      </c>
      <c r="C17" s="400"/>
      <c r="D17" s="400"/>
      <c r="E17" s="400"/>
      <c r="F17" s="389"/>
    </row>
  </sheetData>
  <mergeCells count="1">
    <mergeCell ref="B2:J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FBB20-D0A7-4366-B3D7-D3B358C9A4CA}">
  <dimension ref="B1:L18"/>
  <sheetViews>
    <sheetView topLeftCell="A8" workbookViewId="0">
      <selection activeCell="B8" sqref="B8"/>
    </sheetView>
  </sheetViews>
  <sheetFormatPr defaultRowHeight="18.5" x14ac:dyDescent="0.45"/>
  <cols>
    <col min="2" max="2" width="32.36328125" customWidth="1"/>
    <col min="3" max="3" width="12.7265625" hidden="1" customWidth="1"/>
    <col min="4" max="5" width="12.6328125" hidden="1" customWidth="1"/>
    <col min="6" max="6" width="12.6328125" bestFit="1" customWidth="1"/>
    <col min="7" max="7" width="11.1796875" bestFit="1" customWidth="1"/>
    <col min="8" max="8" width="14.453125" style="218" bestFit="1" customWidth="1"/>
    <col min="9" max="10" width="14.453125" bestFit="1" customWidth="1"/>
  </cols>
  <sheetData>
    <row r="1" spans="2:12" ht="21" x14ac:dyDescent="0.35">
      <c r="B1" s="462" t="s">
        <v>302</v>
      </c>
      <c r="C1" s="462"/>
      <c r="D1" s="462"/>
      <c r="E1" s="462"/>
      <c r="F1" s="462"/>
      <c r="G1" s="462"/>
      <c r="H1" s="462"/>
      <c r="I1" s="462"/>
      <c r="J1" s="462"/>
      <c r="K1" s="10"/>
      <c r="L1" s="10"/>
    </row>
    <row r="2" spans="2:12" ht="19" thickBot="1" x14ac:dyDescent="0.4">
      <c r="B2" s="145"/>
      <c r="C2" s="145"/>
      <c r="D2" s="145"/>
      <c r="E2" s="145"/>
      <c r="F2" s="145"/>
      <c r="G2" s="145"/>
      <c r="H2" s="217"/>
      <c r="I2" s="10"/>
      <c r="J2" s="10"/>
      <c r="K2" s="10"/>
      <c r="L2" s="10"/>
    </row>
    <row r="3" spans="2:12" ht="32" customHeight="1" thickBot="1" x14ac:dyDescent="0.4">
      <c r="B3" s="128" t="s">
        <v>138</v>
      </c>
      <c r="C3" s="128">
        <v>2017</v>
      </c>
      <c r="D3" s="157">
        <v>2018</v>
      </c>
      <c r="E3" s="129">
        <v>2019</v>
      </c>
      <c r="F3" s="129">
        <v>2020</v>
      </c>
      <c r="G3" s="158">
        <v>2021</v>
      </c>
      <c r="H3" s="219">
        <v>2022</v>
      </c>
      <c r="I3" s="219">
        <v>2023</v>
      </c>
      <c r="J3" s="219">
        <v>2024</v>
      </c>
      <c r="K3" s="11"/>
      <c r="L3" s="11"/>
    </row>
    <row r="4" spans="2:12" ht="27" customHeight="1" thickBot="1" x14ac:dyDescent="0.4">
      <c r="B4" s="150" t="s">
        <v>175</v>
      </c>
      <c r="C4" s="151">
        <v>1725777</v>
      </c>
      <c r="D4" s="151">
        <v>1832800</v>
      </c>
      <c r="E4" s="151">
        <v>1896265</v>
      </c>
      <c r="F4" s="151">
        <v>1974569</v>
      </c>
      <c r="G4" s="152">
        <f>1596.43*1000</f>
        <v>1596430</v>
      </c>
      <c r="H4" s="225">
        <v>1623550</v>
      </c>
      <c r="I4" s="225">
        <v>1626659</v>
      </c>
      <c r="J4" s="225">
        <v>1571985</v>
      </c>
      <c r="K4" s="10"/>
      <c r="L4" s="10"/>
    </row>
    <row r="5" spans="2:12" ht="25" customHeight="1" thickBot="1" x14ac:dyDescent="0.4">
      <c r="B5" s="150" t="s">
        <v>173</v>
      </c>
      <c r="C5" s="151">
        <v>79339</v>
      </c>
      <c r="D5" s="151">
        <v>78167</v>
      </c>
      <c r="E5" s="151">
        <v>78712</v>
      </c>
      <c r="F5" s="151">
        <v>67426</v>
      </c>
      <c r="G5" s="152">
        <f>81.48*1000</f>
        <v>81480</v>
      </c>
      <c r="H5" s="226">
        <v>62870</v>
      </c>
      <c r="I5" s="226">
        <v>78812</v>
      </c>
      <c r="J5" s="226">
        <v>65000</v>
      </c>
      <c r="K5" s="10"/>
      <c r="L5" s="10"/>
    </row>
    <row r="6" spans="2:12" ht="27" customHeight="1" thickBot="1" x14ac:dyDescent="0.4">
      <c r="B6" s="150" t="s">
        <v>174</v>
      </c>
      <c r="C6" s="151">
        <v>142611</v>
      </c>
      <c r="D6" s="151">
        <v>139510</v>
      </c>
      <c r="E6" s="151">
        <v>141353</v>
      </c>
      <c r="F6" s="151">
        <v>113457</v>
      </c>
      <c r="G6" s="152">
        <f>121.9*1000</f>
        <v>121900</v>
      </c>
      <c r="H6" s="225">
        <v>104860</v>
      </c>
      <c r="I6" s="225">
        <v>129510</v>
      </c>
      <c r="J6" s="225">
        <v>112787</v>
      </c>
      <c r="K6" s="10"/>
      <c r="L6" s="10"/>
    </row>
    <row r="7" spans="2:12" ht="26.5" customHeight="1" thickBot="1" x14ac:dyDescent="0.4">
      <c r="B7" s="150" t="s">
        <v>139</v>
      </c>
      <c r="C7" s="153">
        <v>0</v>
      </c>
      <c r="D7" s="153">
        <v>0</v>
      </c>
      <c r="E7" s="154">
        <v>0</v>
      </c>
      <c r="F7" s="154">
        <v>0</v>
      </c>
      <c r="G7" s="155">
        <v>0</v>
      </c>
      <c r="H7" s="147">
        <v>0</v>
      </c>
      <c r="I7" s="147">
        <v>0</v>
      </c>
      <c r="J7" s="147">
        <v>0</v>
      </c>
      <c r="K7" s="10"/>
      <c r="L7" s="10"/>
    </row>
    <row r="8" spans="2:12" ht="27.5" customHeight="1" thickBot="1" x14ac:dyDescent="0.4">
      <c r="B8" s="150" t="s">
        <v>176</v>
      </c>
      <c r="C8" s="151">
        <v>3271318</v>
      </c>
      <c r="D8" s="151">
        <v>3364143</v>
      </c>
      <c r="E8" s="151">
        <v>3570934</v>
      </c>
      <c r="F8" s="151">
        <v>3022506</v>
      </c>
      <c r="G8" s="152">
        <v>4402300</v>
      </c>
      <c r="H8" s="227">
        <v>4425602</v>
      </c>
      <c r="I8" s="227">
        <v>2720118</v>
      </c>
      <c r="J8" s="227">
        <v>2898857</v>
      </c>
      <c r="K8" s="10"/>
      <c r="L8" s="10"/>
    </row>
    <row r="9" spans="2:12" ht="25.5" customHeight="1" thickBot="1" x14ac:dyDescent="0.4">
      <c r="B9" s="150" t="s">
        <v>177</v>
      </c>
      <c r="C9" s="151">
        <v>1697</v>
      </c>
      <c r="D9" s="151">
        <v>1818</v>
      </c>
      <c r="E9" s="151">
        <v>1875</v>
      </c>
      <c r="F9" s="151">
        <v>1420</v>
      </c>
      <c r="G9" s="152">
        <f>0.2*1000</f>
        <v>200</v>
      </c>
      <c r="H9" s="147">
        <v>0</v>
      </c>
      <c r="I9" s="147">
        <v>40</v>
      </c>
      <c r="J9" s="147">
        <v>500</v>
      </c>
      <c r="K9" s="10"/>
      <c r="L9" s="10"/>
    </row>
    <row r="10" spans="2:12" ht="25.5" customHeight="1" thickBot="1" x14ac:dyDescent="0.4">
      <c r="B10" s="156" t="s">
        <v>178</v>
      </c>
      <c r="C10" s="146">
        <v>7200</v>
      </c>
      <c r="D10" s="146">
        <v>10150</v>
      </c>
      <c r="E10" s="146">
        <v>10750</v>
      </c>
      <c r="F10" s="146">
        <v>27958</v>
      </c>
      <c r="G10" s="148">
        <f>30.2*1000</f>
        <v>30200</v>
      </c>
      <c r="H10" s="225">
        <v>31850</v>
      </c>
      <c r="I10" s="225">
        <v>35856</v>
      </c>
      <c r="J10" s="225">
        <v>18664</v>
      </c>
      <c r="K10" s="10"/>
      <c r="L10" s="10"/>
    </row>
    <row r="11" spans="2:12" ht="25.5" customHeight="1" thickBot="1" x14ac:dyDescent="0.4">
      <c r="B11" s="156" t="s">
        <v>179</v>
      </c>
      <c r="C11" s="146">
        <v>26884</v>
      </c>
      <c r="D11" s="146">
        <v>28248</v>
      </c>
      <c r="E11" s="146">
        <v>30442</v>
      </c>
      <c r="F11" s="146">
        <v>25634</v>
      </c>
      <c r="G11" s="148">
        <f>4.64*1000</f>
        <v>4640</v>
      </c>
      <c r="H11" s="226">
        <v>1940</v>
      </c>
      <c r="I11" s="226">
        <v>5576</v>
      </c>
      <c r="J11" s="226">
        <v>5746</v>
      </c>
      <c r="K11" s="10"/>
      <c r="L11" s="10"/>
    </row>
    <row r="12" spans="2:12" ht="29.5" customHeight="1" thickBot="1" x14ac:dyDescent="0.4">
      <c r="B12" s="156" t="s">
        <v>180</v>
      </c>
      <c r="C12" s="147">
        <v>0</v>
      </c>
      <c r="D12" s="153">
        <v>0</v>
      </c>
      <c r="E12" s="159">
        <v>0</v>
      </c>
      <c r="F12" s="154">
        <v>0</v>
      </c>
      <c r="G12" s="149">
        <v>0</v>
      </c>
      <c r="H12" s="153">
        <v>0</v>
      </c>
      <c r="I12" s="153">
        <v>0</v>
      </c>
      <c r="J12" s="153">
        <v>0</v>
      </c>
      <c r="K12" s="10"/>
      <c r="L12" s="10"/>
    </row>
    <row r="13" spans="2:12" ht="28" customHeight="1" thickBot="1" x14ac:dyDescent="0.4">
      <c r="B13" s="156" t="s">
        <v>181</v>
      </c>
      <c r="C13" s="153">
        <v>0</v>
      </c>
      <c r="D13" s="147">
        <v>0</v>
      </c>
      <c r="E13" s="160">
        <v>0</v>
      </c>
      <c r="F13" s="161">
        <v>0</v>
      </c>
      <c r="G13" s="148">
        <v>0</v>
      </c>
      <c r="H13" s="153">
        <v>0</v>
      </c>
      <c r="I13" s="153">
        <v>0</v>
      </c>
      <c r="J13" s="153">
        <v>0</v>
      </c>
      <c r="K13" s="10"/>
      <c r="L13" s="10"/>
    </row>
    <row r="14" spans="2:12" ht="28" customHeight="1" thickBot="1" x14ac:dyDescent="0.4">
      <c r="B14" s="156" t="s">
        <v>182</v>
      </c>
      <c r="C14" s="147">
        <v>147</v>
      </c>
      <c r="D14" s="147">
        <v>0</v>
      </c>
      <c r="E14" s="161">
        <v>0</v>
      </c>
      <c r="F14" s="146">
        <v>353</v>
      </c>
      <c r="G14" s="148">
        <f>1.2*1000</f>
        <v>1200</v>
      </c>
      <c r="H14" s="225">
        <v>8990</v>
      </c>
      <c r="I14" s="225">
        <v>4049</v>
      </c>
      <c r="J14" s="225">
        <v>1310</v>
      </c>
      <c r="K14" s="10"/>
      <c r="L14" s="10"/>
    </row>
    <row r="15" spans="2:12" ht="28" customHeight="1" thickBot="1" x14ac:dyDescent="0.4">
      <c r="B15" s="156" t="s">
        <v>140</v>
      </c>
      <c r="C15" s="147">
        <v>0</v>
      </c>
      <c r="D15" s="147">
        <v>0</v>
      </c>
      <c r="E15" s="146">
        <v>7</v>
      </c>
      <c r="F15" s="161">
        <v>0</v>
      </c>
      <c r="G15" s="148">
        <f>0.02*1000</f>
        <v>20</v>
      </c>
      <c r="H15" s="153">
        <v>40</v>
      </c>
      <c r="I15" s="153">
        <v>124</v>
      </c>
      <c r="J15" s="153">
        <v>90</v>
      </c>
      <c r="K15" s="10"/>
      <c r="L15" s="10"/>
    </row>
    <row r="16" spans="2:12" ht="28.5" customHeight="1" thickBot="1" x14ac:dyDescent="0.4">
      <c r="B16" s="156" t="s">
        <v>183</v>
      </c>
      <c r="C16" s="147">
        <v>0</v>
      </c>
      <c r="D16" s="147">
        <v>0</v>
      </c>
      <c r="E16" s="161">
        <v>0</v>
      </c>
      <c r="F16" s="161">
        <v>0</v>
      </c>
      <c r="G16" s="148">
        <v>0</v>
      </c>
      <c r="H16" s="147">
        <v>0</v>
      </c>
      <c r="I16" s="147">
        <v>0</v>
      </c>
      <c r="J16" s="147">
        <v>0</v>
      </c>
      <c r="K16" s="10"/>
      <c r="L16" s="10"/>
    </row>
    <row r="17" spans="2:12" ht="29.5" customHeight="1" x14ac:dyDescent="0.35">
      <c r="B17" s="461"/>
      <c r="C17" s="461"/>
      <c r="D17" s="461"/>
      <c r="E17" s="461"/>
      <c r="F17" s="12"/>
      <c r="G17" s="10"/>
      <c r="H17" s="217"/>
      <c r="I17" s="10"/>
      <c r="J17" s="10"/>
      <c r="K17" s="10"/>
      <c r="L17" s="10"/>
    </row>
    <row r="18" spans="2:12" ht="18.5" customHeight="1" x14ac:dyDescent="0.35">
      <c r="B18" s="442" t="s">
        <v>304</v>
      </c>
      <c r="C18" s="442"/>
      <c r="D18" s="442"/>
      <c r="E18" s="442"/>
      <c r="F18" s="442"/>
      <c r="G18" s="442"/>
      <c r="H18" s="442"/>
      <c r="I18" s="442"/>
    </row>
  </sheetData>
  <mergeCells count="3">
    <mergeCell ref="B17:E17"/>
    <mergeCell ref="B1:J1"/>
    <mergeCell ref="B18:I18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6BE9-03C2-4FAA-8C1C-D642BF08FFE9}">
  <dimension ref="B1:N43"/>
  <sheetViews>
    <sheetView topLeftCell="B1" zoomScale="130" zoomScaleNormal="130" workbookViewId="0">
      <pane xSplit="1" topLeftCell="C1" activePane="topRight" state="frozen"/>
      <selection activeCell="B1" sqref="B1"/>
      <selection pane="topRight" activeCell="N12" sqref="N12"/>
    </sheetView>
  </sheetViews>
  <sheetFormatPr defaultRowHeight="14.5" x14ac:dyDescent="0.35"/>
  <cols>
    <col min="2" max="2" width="16.36328125" customWidth="1"/>
    <col min="3" max="3" width="24.54296875" customWidth="1"/>
    <col min="4" max="4" width="12" hidden="1" customWidth="1"/>
    <col min="5" max="5" width="11.90625" hidden="1" customWidth="1"/>
    <col min="6" max="6" width="11.6328125" customWidth="1"/>
    <col min="7" max="7" width="11.54296875" customWidth="1"/>
    <col min="8" max="8" width="8.7265625" style="203"/>
    <col min="9" max="10" width="8.7265625" style="201" customWidth="1"/>
    <col min="13" max="13" width="0" hidden="1" customWidth="1"/>
  </cols>
  <sheetData>
    <row r="1" spans="2:14" ht="32.5" customHeight="1" thickBot="1" x14ac:dyDescent="0.4">
      <c r="B1" s="463" t="s">
        <v>305</v>
      </c>
      <c r="C1" s="463"/>
      <c r="D1" s="463"/>
      <c r="E1" s="463"/>
      <c r="F1" s="463"/>
      <c r="G1" s="463"/>
      <c r="H1" s="463"/>
      <c r="I1" s="463"/>
      <c r="J1" s="401"/>
      <c r="K1" s="13"/>
      <c r="L1" s="13"/>
    </row>
    <row r="2" spans="2:14" ht="16" thickBot="1" x14ac:dyDescent="0.4">
      <c r="B2" s="467" t="s">
        <v>141</v>
      </c>
      <c r="C2" s="468"/>
      <c r="D2" s="280">
        <v>2018</v>
      </c>
      <c r="E2" s="280">
        <v>2019</v>
      </c>
      <c r="F2" s="280">
        <v>2020</v>
      </c>
      <c r="G2" s="280">
        <v>2021</v>
      </c>
      <c r="H2" s="281">
        <v>2022</v>
      </c>
      <c r="I2" s="334">
        <v>2023</v>
      </c>
      <c r="J2" s="334">
        <v>2024</v>
      </c>
      <c r="K2" s="13"/>
      <c r="L2" s="13"/>
    </row>
    <row r="3" spans="2:14" ht="12" customHeight="1" x14ac:dyDescent="0.35">
      <c r="B3" s="469" t="s">
        <v>142</v>
      </c>
      <c r="C3" s="310" t="s">
        <v>143</v>
      </c>
      <c r="D3" s="311">
        <v>1173</v>
      </c>
      <c r="E3" s="312">
        <v>928.29</v>
      </c>
      <c r="F3" s="313">
        <v>724.02687000000003</v>
      </c>
      <c r="G3" s="314">
        <v>339</v>
      </c>
      <c r="H3" s="315">
        <v>760</v>
      </c>
      <c r="I3" s="335">
        <v>761</v>
      </c>
      <c r="J3" s="335">
        <v>1236</v>
      </c>
      <c r="K3" s="13"/>
      <c r="L3" s="13"/>
    </row>
    <row r="4" spans="2:14" ht="11" customHeight="1" x14ac:dyDescent="0.35">
      <c r="B4" s="465"/>
      <c r="C4" s="283" t="s">
        <v>144</v>
      </c>
      <c r="D4" s="162">
        <v>296</v>
      </c>
      <c r="E4" s="163">
        <v>202.7</v>
      </c>
      <c r="F4" s="164">
        <v>264.04417000000001</v>
      </c>
      <c r="G4" s="165">
        <v>141</v>
      </c>
      <c r="H4" s="271">
        <v>348</v>
      </c>
      <c r="I4" s="336">
        <v>294</v>
      </c>
      <c r="J4" s="336">
        <v>389</v>
      </c>
      <c r="K4" s="13"/>
      <c r="L4" s="13"/>
    </row>
    <row r="5" spans="2:14" ht="11.5" customHeight="1" x14ac:dyDescent="0.35">
      <c r="B5" s="465"/>
      <c r="C5" s="283" t="s">
        <v>145</v>
      </c>
      <c r="D5" s="162">
        <v>4.1900000000000004</v>
      </c>
      <c r="E5" s="166">
        <v>2.69042</v>
      </c>
      <c r="F5" s="167">
        <v>4.8444947000000003</v>
      </c>
      <c r="G5" s="165">
        <v>1.96</v>
      </c>
      <c r="H5" s="271">
        <v>5.4</v>
      </c>
      <c r="I5" s="336">
        <v>4.0030000000000001</v>
      </c>
      <c r="J5" s="336">
        <v>7.1580000000000004</v>
      </c>
      <c r="K5" s="13" t="s">
        <v>290</v>
      </c>
      <c r="L5" s="13"/>
      <c r="M5">
        <v>7158</v>
      </c>
    </row>
    <row r="6" spans="2:14" ht="11" customHeight="1" thickBot="1" x14ac:dyDescent="0.4">
      <c r="B6" s="466"/>
      <c r="C6" s="284" t="s">
        <v>146</v>
      </c>
      <c r="D6" s="275">
        <f>(4.19*1000)/D4</f>
        <v>14.155405405405405</v>
      </c>
      <c r="E6" s="316">
        <f>(E5*1000)/E4</f>
        <v>13.272915638875187</v>
      </c>
      <c r="F6" s="275">
        <f>(F5*1000)/F4</f>
        <v>18.347289016076363</v>
      </c>
      <c r="G6" s="275">
        <f>(G5*1000)/G4</f>
        <v>13.900709219858156</v>
      </c>
      <c r="H6" s="317">
        <v>15.46</v>
      </c>
      <c r="I6" s="337">
        <f>4003/I4</f>
        <v>13.615646258503402</v>
      </c>
      <c r="J6" s="337">
        <f>M5/J4</f>
        <v>18.401028277634961</v>
      </c>
      <c r="K6" s="13"/>
      <c r="L6" s="13"/>
    </row>
    <row r="7" spans="2:14" ht="11" customHeight="1" x14ac:dyDescent="0.35">
      <c r="B7" s="469" t="s">
        <v>147</v>
      </c>
      <c r="C7" s="310" t="s">
        <v>143</v>
      </c>
      <c r="D7" s="311">
        <v>325527</v>
      </c>
      <c r="E7" s="318">
        <v>275146.761446541</v>
      </c>
      <c r="F7" s="319">
        <v>269565.61331515154</v>
      </c>
      <c r="G7" s="320">
        <v>221138</v>
      </c>
      <c r="H7" s="321">
        <v>166720</v>
      </c>
      <c r="I7" s="331">
        <v>210749</v>
      </c>
      <c r="J7" s="331">
        <v>184308</v>
      </c>
      <c r="K7" s="13"/>
      <c r="L7" s="13"/>
    </row>
    <row r="8" spans="2:14" ht="11" customHeight="1" x14ac:dyDescent="0.35">
      <c r="B8" s="465"/>
      <c r="C8" s="283" t="s">
        <v>144</v>
      </c>
      <c r="D8" s="162">
        <v>180283</v>
      </c>
      <c r="E8" s="168">
        <v>166237.78333333333</v>
      </c>
      <c r="F8" s="169">
        <v>124357.38271515153</v>
      </c>
      <c r="G8" s="170">
        <v>144365</v>
      </c>
      <c r="H8" s="272">
        <v>94705</v>
      </c>
      <c r="I8" s="332">
        <v>123537</v>
      </c>
      <c r="J8" s="332">
        <v>96324</v>
      </c>
      <c r="K8" s="13"/>
      <c r="L8" s="13"/>
    </row>
    <row r="9" spans="2:14" ht="11.5" customHeight="1" x14ac:dyDescent="0.35">
      <c r="B9" s="465"/>
      <c r="C9" s="283" t="s">
        <v>145</v>
      </c>
      <c r="D9" s="162">
        <v>2621.27</v>
      </c>
      <c r="E9" s="166">
        <v>2368.4835099999996</v>
      </c>
      <c r="F9" s="171">
        <v>3766.2430227272725</v>
      </c>
      <c r="G9" s="165">
        <v>591.74</v>
      </c>
      <c r="H9" s="272">
        <v>1643.96</v>
      </c>
      <c r="I9" s="272">
        <v>1534.6379999999999</v>
      </c>
      <c r="J9" s="272">
        <v>1102.5719999999999</v>
      </c>
      <c r="K9" s="13"/>
      <c r="L9" s="13"/>
      <c r="M9" s="402">
        <v>1102572</v>
      </c>
    </row>
    <row r="10" spans="2:14" ht="9.5" customHeight="1" thickBot="1" x14ac:dyDescent="0.4">
      <c r="B10" s="466"/>
      <c r="C10" s="284" t="s">
        <v>146</v>
      </c>
      <c r="D10" s="275">
        <f>(D9*1000)/D8</f>
        <v>14.539751390868801</v>
      </c>
      <c r="E10" s="316">
        <f>(E9*1000)/E8</f>
        <v>14.247564317257599</v>
      </c>
      <c r="F10" s="322">
        <f>(F9*1000)/F8</f>
        <v>30.285640791862683</v>
      </c>
      <c r="G10" s="322">
        <f>(G9*1000)/G8</f>
        <v>4.0989159422297652</v>
      </c>
      <c r="H10" s="323">
        <v>17</v>
      </c>
      <c r="I10" s="323">
        <v>12</v>
      </c>
      <c r="J10" s="403">
        <f>M9/J8</f>
        <v>11.446493085835305</v>
      </c>
      <c r="K10" s="13"/>
      <c r="L10" s="13"/>
    </row>
    <row r="11" spans="2:14" ht="10.5" customHeight="1" x14ac:dyDescent="0.35">
      <c r="B11" s="469" t="s">
        <v>148</v>
      </c>
      <c r="C11" s="310" t="s">
        <v>143</v>
      </c>
      <c r="D11" s="311">
        <v>20433</v>
      </c>
      <c r="E11" s="318">
        <v>23374.312584738687</v>
      </c>
      <c r="F11" s="319">
        <v>21945.563860000002</v>
      </c>
      <c r="G11" s="320">
        <v>14015</v>
      </c>
      <c r="H11" s="321">
        <v>16977</v>
      </c>
      <c r="I11" s="382">
        <v>23976</v>
      </c>
      <c r="J11" s="382">
        <v>21854</v>
      </c>
      <c r="K11" s="13"/>
      <c r="L11" s="13"/>
    </row>
    <row r="12" spans="2:14" ht="10.5" customHeight="1" x14ac:dyDescent="0.35">
      <c r="B12" s="465"/>
      <c r="C12" s="283" t="s">
        <v>144</v>
      </c>
      <c r="D12" s="162">
        <v>6003</v>
      </c>
      <c r="E12" s="172">
        <v>5327.54</v>
      </c>
      <c r="F12" s="169">
        <v>8267.7862600000008</v>
      </c>
      <c r="G12" s="170">
        <v>4632</v>
      </c>
      <c r="H12" s="272">
        <v>6675</v>
      </c>
      <c r="I12" s="383">
        <v>8690</v>
      </c>
      <c r="J12" s="383">
        <v>10775</v>
      </c>
      <c r="K12" s="13"/>
      <c r="L12" s="13"/>
    </row>
    <row r="13" spans="2:14" ht="10.5" customHeight="1" x14ac:dyDescent="0.35">
      <c r="B13" s="465"/>
      <c r="C13" s="423" t="s">
        <v>145</v>
      </c>
      <c r="D13" s="424">
        <v>79.66</v>
      </c>
      <c r="E13" s="166">
        <v>43.761270000000003</v>
      </c>
      <c r="F13" s="173">
        <v>141.19335500000003</v>
      </c>
      <c r="G13" s="425">
        <v>71.19</v>
      </c>
      <c r="H13" s="383">
        <v>70.94</v>
      </c>
      <c r="I13" s="383">
        <v>84.355000000000004</v>
      </c>
      <c r="J13" s="383">
        <v>123.18600000000001</v>
      </c>
      <c r="K13" s="421"/>
      <c r="L13" s="421"/>
      <c r="M13" s="422">
        <v>123186</v>
      </c>
      <c r="N13" s="422"/>
    </row>
    <row r="14" spans="2:14" ht="10.5" customHeight="1" thickBot="1" x14ac:dyDescent="0.4">
      <c r="B14" s="466"/>
      <c r="C14" s="415" t="s">
        <v>146</v>
      </c>
      <c r="D14" s="416">
        <f>(D13*1000)/D12</f>
        <v>13.270031650841245</v>
      </c>
      <c r="E14" s="417">
        <f>(E13*1000)/E12</f>
        <v>8.2141607571224249</v>
      </c>
      <c r="F14" s="426">
        <f>(F13*1000)/F12</f>
        <v>17.077528441089626</v>
      </c>
      <c r="G14" s="427">
        <f>(G13*1000)/G12</f>
        <v>15.369170984455959</v>
      </c>
      <c r="H14" s="384">
        <v>11</v>
      </c>
      <c r="I14" s="384">
        <v>9.6999999999999993</v>
      </c>
      <c r="J14" s="384">
        <f>M13/J12</f>
        <v>11.432575406032482</v>
      </c>
      <c r="K14" s="421"/>
      <c r="L14" s="421"/>
      <c r="M14" s="422"/>
      <c r="N14" s="422"/>
    </row>
    <row r="15" spans="2:14" ht="10.5" customHeight="1" x14ac:dyDescent="0.35">
      <c r="B15" s="470" t="s">
        <v>149</v>
      </c>
      <c r="C15" s="428" t="s">
        <v>143</v>
      </c>
      <c r="D15" s="429">
        <v>4167</v>
      </c>
      <c r="E15" s="318">
        <v>4372.7494339622644</v>
      </c>
      <c r="F15" s="319">
        <v>3912.4353799999999</v>
      </c>
      <c r="G15" s="430">
        <v>3428</v>
      </c>
      <c r="H15" s="431">
        <v>2999</v>
      </c>
      <c r="I15" s="382">
        <v>3747</v>
      </c>
      <c r="J15" s="382">
        <v>2897</v>
      </c>
      <c r="K15" s="421"/>
      <c r="L15" s="421"/>
      <c r="M15" s="422"/>
      <c r="N15" s="422"/>
    </row>
    <row r="16" spans="2:14" ht="10.5" customHeight="1" x14ac:dyDescent="0.35">
      <c r="B16" s="471"/>
      <c r="C16" s="423" t="s">
        <v>144</v>
      </c>
      <c r="D16" s="424">
        <v>2775</v>
      </c>
      <c r="E16" s="168">
        <v>2422.8700000000003</v>
      </c>
      <c r="F16" s="169">
        <v>2728.0320000000002</v>
      </c>
      <c r="G16" s="432">
        <v>2228</v>
      </c>
      <c r="H16" s="383">
        <v>1769</v>
      </c>
      <c r="I16" s="383">
        <v>2378</v>
      </c>
      <c r="J16" s="383">
        <v>1910</v>
      </c>
      <c r="K16" s="421"/>
      <c r="L16" s="421"/>
      <c r="M16" s="422"/>
      <c r="N16" s="422"/>
    </row>
    <row r="17" spans="2:14" ht="10.5" customHeight="1" x14ac:dyDescent="0.35">
      <c r="B17" s="471"/>
      <c r="C17" s="423" t="s">
        <v>145</v>
      </c>
      <c r="D17" s="424">
        <v>76.22</v>
      </c>
      <c r="E17" s="166">
        <v>62.520330000000001</v>
      </c>
      <c r="F17" s="173">
        <v>57.763592000000003</v>
      </c>
      <c r="G17" s="433">
        <v>37.6</v>
      </c>
      <c r="H17" s="383">
        <v>35.21</v>
      </c>
      <c r="I17" s="383">
        <v>43.052</v>
      </c>
      <c r="J17" s="383">
        <v>29.369</v>
      </c>
      <c r="K17" s="421"/>
      <c r="L17" s="421"/>
      <c r="M17" s="422">
        <v>29369</v>
      </c>
      <c r="N17" s="422"/>
    </row>
    <row r="18" spans="2:14" ht="10.5" customHeight="1" thickBot="1" x14ac:dyDescent="0.4">
      <c r="B18" s="472"/>
      <c r="C18" s="415" t="s">
        <v>146</v>
      </c>
      <c r="D18" s="416">
        <f>(D17*1000)/D16</f>
        <v>27.466666666666665</v>
      </c>
      <c r="E18" s="417">
        <f>(E17*1000)/E16</f>
        <v>25.804244552947534</v>
      </c>
      <c r="F18" s="426">
        <f>(F17*1000)/F16</f>
        <v>21.174088866992761</v>
      </c>
      <c r="G18" s="427">
        <f>(G17*1000)/G16</f>
        <v>16.87612208258528</v>
      </c>
      <c r="H18" s="384">
        <v>20</v>
      </c>
      <c r="I18" s="384">
        <v>18</v>
      </c>
      <c r="J18" s="384">
        <f>M17/J16</f>
        <v>15.376439790575915</v>
      </c>
      <c r="K18" s="421"/>
      <c r="L18" s="421"/>
      <c r="M18" s="422"/>
      <c r="N18" s="422"/>
    </row>
    <row r="19" spans="2:14" ht="10.5" customHeight="1" x14ac:dyDescent="0.35">
      <c r="B19" s="470" t="s">
        <v>150</v>
      </c>
      <c r="C19" s="428" t="s">
        <v>143</v>
      </c>
      <c r="D19" s="429">
        <v>3331</v>
      </c>
      <c r="E19" s="318">
        <v>3741.9037735849056</v>
      </c>
      <c r="F19" s="319">
        <v>3046.6981929999997</v>
      </c>
      <c r="G19" s="430">
        <v>1740</v>
      </c>
      <c r="H19" s="434">
        <v>4183</v>
      </c>
      <c r="I19" s="382">
        <v>3865</v>
      </c>
      <c r="J19" s="382">
        <v>2911</v>
      </c>
      <c r="K19" s="421"/>
      <c r="L19" s="421"/>
      <c r="M19" s="422"/>
      <c r="N19" s="422"/>
    </row>
    <row r="20" spans="2:14" ht="10.5" customHeight="1" x14ac:dyDescent="0.35">
      <c r="B20" s="471"/>
      <c r="C20" s="423" t="s">
        <v>144</v>
      </c>
      <c r="D20" s="424">
        <v>1160</v>
      </c>
      <c r="E20" s="168">
        <v>1485.55</v>
      </c>
      <c r="F20" s="169">
        <v>1413.2370000000001</v>
      </c>
      <c r="G20" s="425">
        <v>883</v>
      </c>
      <c r="H20" s="435">
        <v>1337</v>
      </c>
      <c r="I20" s="383">
        <v>1319</v>
      </c>
      <c r="J20" s="383">
        <v>1395</v>
      </c>
      <c r="K20" s="421"/>
      <c r="L20" s="421"/>
      <c r="M20" s="422"/>
      <c r="N20" s="422"/>
    </row>
    <row r="21" spans="2:14" ht="10.5" customHeight="1" x14ac:dyDescent="0.35">
      <c r="B21" s="471"/>
      <c r="C21" s="423" t="s">
        <v>145</v>
      </c>
      <c r="D21" s="424">
        <v>27.61</v>
      </c>
      <c r="E21" s="166">
        <v>34.046290000000006</v>
      </c>
      <c r="F21" s="173">
        <v>31.102683139999996</v>
      </c>
      <c r="G21" s="425">
        <v>18.670000000000002</v>
      </c>
      <c r="H21" s="435">
        <v>29.84</v>
      </c>
      <c r="I21" s="383">
        <v>20.45</v>
      </c>
      <c r="J21" s="383">
        <v>31.562000000000001</v>
      </c>
      <c r="K21" s="421"/>
      <c r="L21" s="421"/>
      <c r="M21" s="422">
        <v>31562</v>
      </c>
      <c r="N21" s="422"/>
    </row>
    <row r="22" spans="2:14" ht="10.5" customHeight="1" thickBot="1" x14ac:dyDescent="0.4">
      <c r="B22" s="472"/>
      <c r="C22" s="415" t="s">
        <v>146</v>
      </c>
      <c r="D22" s="416">
        <f>(D21*1000)/D20</f>
        <v>23.801724137931036</v>
      </c>
      <c r="E22" s="417">
        <f>(E21*1000)/E20</f>
        <v>22.91830635118307</v>
      </c>
      <c r="F22" s="418">
        <f>(F21*1000)/F20</f>
        <v>22.008115510703437</v>
      </c>
      <c r="G22" s="419">
        <f>(G21*1000)/G20</f>
        <v>21.143827859569647</v>
      </c>
      <c r="H22" s="420">
        <v>22</v>
      </c>
      <c r="I22" s="385">
        <v>16</v>
      </c>
      <c r="J22" s="385">
        <f>M21/J20</f>
        <v>22.625089605734768</v>
      </c>
      <c r="K22" s="421"/>
      <c r="L22" s="421"/>
      <c r="M22" s="422"/>
      <c r="N22" s="422"/>
    </row>
    <row r="23" spans="2:14" ht="10.5" customHeight="1" x14ac:dyDescent="0.35">
      <c r="B23" s="469" t="s">
        <v>151</v>
      </c>
      <c r="C23" s="310" t="s">
        <v>143</v>
      </c>
      <c r="D23" s="311">
        <v>1379</v>
      </c>
      <c r="E23" s="318">
        <v>1512.8896226415095</v>
      </c>
      <c r="F23" s="319">
        <v>1203.3348659999999</v>
      </c>
      <c r="G23" s="314">
        <v>433</v>
      </c>
      <c r="H23" s="326">
        <v>1489</v>
      </c>
      <c r="I23" s="382">
        <v>1329</v>
      </c>
      <c r="J23" s="382">
        <v>1154</v>
      </c>
      <c r="K23" s="13"/>
      <c r="L23" s="13"/>
    </row>
    <row r="24" spans="2:14" ht="10.5" customHeight="1" x14ac:dyDescent="0.35">
      <c r="B24" s="465"/>
      <c r="C24" s="283" t="s">
        <v>144</v>
      </c>
      <c r="D24" s="162">
        <v>828</v>
      </c>
      <c r="E24" s="168">
        <v>720.83</v>
      </c>
      <c r="F24" s="169">
        <v>807.45801099999983</v>
      </c>
      <c r="G24" s="165">
        <v>329</v>
      </c>
      <c r="H24" s="273">
        <v>538</v>
      </c>
      <c r="I24" s="383">
        <v>552</v>
      </c>
      <c r="J24" s="383">
        <v>561</v>
      </c>
      <c r="K24" s="13"/>
      <c r="L24" s="13"/>
    </row>
    <row r="25" spans="2:14" ht="10.5" customHeight="1" x14ac:dyDescent="0.35">
      <c r="B25" s="465"/>
      <c r="C25" s="283" t="s">
        <v>145</v>
      </c>
      <c r="D25" s="162">
        <v>41.33</v>
      </c>
      <c r="E25" s="166">
        <v>67.48124</v>
      </c>
      <c r="F25" s="173">
        <v>28.385532699999999</v>
      </c>
      <c r="G25" s="165">
        <v>7.31</v>
      </c>
      <c r="H25" s="274">
        <v>18.3</v>
      </c>
      <c r="I25" s="386">
        <v>14.21</v>
      </c>
      <c r="J25" s="386">
        <v>14.016</v>
      </c>
      <c r="K25" s="13"/>
      <c r="L25" s="13"/>
      <c r="M25">
        <v>14016</v>
      </c>
    </row>
    <row r="26" spans="2:14" ht="10.5" customHeight="1" thickBot="1" x14ac:dyDescent="0.4">
      <c r="B26" s="466"/>
      <c r="C26" s="284" t="s">
        <v>146</v>
      </c>
      <c r="D26" s="275">
        <f>(D25*1000)/D24</f>
        <v>49.915458937198068</v>
      </c>
      <c r="E26" s="316">
        <f>(E25*1000)/E24</f>
        <v>93.616025970062296</v>
      </c>
      <c r="F26" s="278">
        <f>(F25*1000)/F24</f>
        <v>35.154190451149049</v>
      </c>
      <c r="G26" s="278">
        <f>(G25*1000)/G24</f>
        <v>22.218844984802431</v>
      </c>
      <c r="H26" s="279">
        <v>34</v>
      </c>
      <c r="I26" s="384">
        <v>26</v>
      </c>
      <c r="J26" s="384">
        <f>M25/J24</f>
        <v>24.983957219251337</v>
      </c>
      <c r="K26" s="13"/>
      <c r="L26" s="13"/>
    </row>
    <row r="27" spans="2:14" ht="10.5" customHeight="1" x14ac:dyDescent="0.35">
      <c r="B27" s="469" t="s">
        <v>152</v>
      </c>
      <c r="C27" s="310" t="s">
        <v>143</v>
      </c>
      <c r="D27" s="311">
        <v>56877</v>
      </c>
      <c r="E27" s="318">
        <v>57616.82547169811</v>
      </c>
      <c r="F27" s="313">
        <v>73389.925797999997</v>
      </c>
      <c r="G27" s="320">
        <v>76156</v>
      </c>
      <c r="H27" s="326">
        <v>99915</v>
      </c>
      <c r="I27" s="387">
        <v>118008</v>
      </c>
      <c r="J27" s="387">
        <v>92779</v>
      </c>
      <c r="K27" s="13"/>
      <c r="L27" s="13"/>
    </row>
    <row r="28" spans="2:14" ht="10.5" customHeight="1" x14ac:dyDescent="0.35">
      <c r="B28" s="465"/>
      <c r="C28" s="283" t="s">
        <v>144</v>
      </c>
      <c r="D28" s="162">
        <v>9884</v>
      </c>
      <c r="E28" s="168">
        <v>9191.0399999999991</v>
      </c>
      <c r="F28" s="164">
        <v>10479.14373</v>
      </c>
      <c r="G28" s="170">
        <v>14572</v>
      </c>
      <c r="H28" s="273">
        <v>12979</v>
      </c>
      <c r="I28" s="383">
        <v>14216</v>
      </c>
      <c r="J28" s="383">
        <v>18482</v>
      </c>
      <c r="K28" s="13"/>
      <c r="L28" s="13"/>
    </row>
    <row r="29" spans="2:14" ht="10.5" customHeight="1" x14ac:dyDescent="0.35">
      <c r="B29" s="465"/>
      <c r="C29" s="283" t="s">
        <v>145</v>
      </c>
      <c r="D29" s="162">
        <v>83.15</v>
      </c>
      <c r="E29" s="166">
        <v>46.842100000000002</v>
      </c>
      <c r="F29" s="167">
        <v>226.89716100000001</v>
      </c>
      <c r="G29" s="165">
        <v>101.25</v>
      </c>
      <c r="H29" s="273">
        <v>90.57</v>
      </c>
      <c r="I29" s="383">
        <v>73.510000000000005</v>
      </c>
      <c r="J29" s="383">
        <v>107.63500000000001</v>
      </c>
      <c r="K29" s="13"/>
      <c r="L29" s="13"/>
      <c r="M29">
        <v>107635</v>
      </c>
    </row>
    <row r="30" spans="2:14" ht="10.5" customHeight="1" thickBot="1" x14ac:dyDescent="0.4">
      <c r="B30" s="466"/>
      <c r="C30" s="284" t="s">
        <v>146</v>
      </c>
      <c r="D30" s="275">
        <f>(D29*1000)/D28</f>
        <v>8.4125859975718331</v>
      </c>
      <c r="E30" s="316">
        <f>(E29*1000)/E28</f>
        <v>5.0964961527748764</v>
      </c>
      <c r="F30" s="327">
        <f>(F29*1000)/F28</f>
        <v>21.652261563168771</v>
      </c>
      <c r="G30" s="328">
        <f>(G29*1000)/G28</f>
        <v>6.9482569311007412</v>
      </c>
      <c r="H30" s="317">
        <v>7</v>
      </c>
      <c r="I30" s="388">
        <v>5</v>
      </c>
      <c r="J30" s="388">
        <f>M29/J28</f>
        <v>5.8237744832810305</v>
      </c>
      <c r="K30" s="13"/>
      <c r="L30" s="13"/>
    </row>
    <row r="31" spans="2:14" ht="10.5" customHeight="1" x14ac:dyDescent="0.35">
      <c r="B31" s="469" t="s">
        <v>153</v>
      </c>
      <c r="C31" s="310" t="s">
        <v>143</v>
      </c>
      <c r="D31" s="311">
        <v>1828</v>
      </c>
      <c r="E31" s="318">
        <v>1186.5709433962265</v>
      </c>
      <c r="F31" s="329">
        <v>1377.8354650000001</v>
      </c>
      <c r="G31" s="314">
        <v>689</v>
      </c>
      <c r="H31" s="326">
        <v>1398</v>
      </c>
      <c r="I31" s="382">
        <v>2783</v>
      </c>
      <c r="J31" s="382">
        <v>2385</v>
      </c>
      <c r="K31" s="13"/>
      <c r="L31" s="13"/>
    </row>
    <row r="32" spans="2:14" ht="10.5" customHeight="1" x14ac:dyDescent="0.35">
      <c r="B32" s="465"/>
      <c r="C32" s="283" t="s">
        <v>144</v>
      </c>
      <c r="D32" s="162">
        <v>380</v>
      </c>
      <c r="E32" s="168">
        <v>356.09000000000003</v>
      </c>
      <c r="F32" s="169">
        <v>437.23293899999993</v>
      </c>
      <c r="G32" s="165">
        <v>211</v>
      </c>
      <c r="H32" s="273">
        <v>331</v>
      </c>
      <c r="I32" s="383">
        <v>314</v>
      </c>
      <c r="J32" s="383">
        <v>325</v>
      </c>
      <c r="K32" s="13"/>
      <c r="L32" s="13"/>
    </row>
    <row r="33" spans="2:13" ht="10.5" customHeight="1" x14ac:dyDescent="0.35">
      <c r="B33" s="465"/>
      <c r="C33" s="283" t="s">
        <v>145</v>
      </c>
      <c r="D33" s="162">
        <v>8.73</v>
      </c>
      <c r="E33" s="166">
        <v>5.7774300000000007</v>
      </c>
      <c r="F33" s="173">
        <v>6.5028938000000007</v>
      </c>
      <c r="G33" s="165">
        <v>4.0599999999999996</v>
      </c>
      <c r="H33" s="273">
        <v>7.63</v>
      </c>
      <c r="I33" s="272">
        <v>4.4089999999999998</v>
      </c>
      <c r="J33" s="272">
        <v>5.7039999999999997</v>
      </c>
      <c r="K33" s="13"/>
      <c r="L33" s="13"/>
      <c r="M33">
        <v>5704</v>
      </c>
    </row>
    <row r="34" spans="2:13" ht="10.5" customHeight="1" thickBot="1" x14ac:dyDescent="0.4">
      <c r="B34" s="466"/>
      <c r="C34" s="284" t="s">
        <v>146</v>
      </c>
      <c r="D34" s="275">
        <f>(D33*1000)/D32</f>
        <v>22.973684210526315</v>
      </c>
      <c r="E34" s="316">
        <f>(E33*1000)/E32</f>
        <v>16.224634221685527</v>
      </c>
      <c r="F34" s="278">
        <f>(F33*1000)/F32</f>
        <v>14.872836010189072</v>
      </c>
      <c r="G34" s="278">
        <f>(G33*1000)/G32</f>
        <v>19.24170616113744</v>
      </c>
      <c r="H34" s="279">
        <v>23</v>
      </c>
      <c r="I34" s="324">
        <v>14</v>
      </c>
      <c r="J34" s="324">
        <f>M33/J32</f>
        <v>17.55076923076923</v>
      </c>
      <c r="K34" s="13"/>
      <c r="L34" s="13"/>
    </row>
    <row r="35" spans="2:13" ht="10.5" customHeight="1" x14ac:dyDescent="0.35">
      <c r="B35" s="469" t="s">
        <v>154</v>
      </c>
      <c r="C35" s="310" t="s">
        <v>143</v>
      </c>
      <c r="D35" s="311">
        <v>48000</v>
      </c>
      <c r="E35" s="318">
        <v>51902.429811320748</v>
      </c>
      <c r="F35" s="319">
        <v>36466.651899999997</v>
      </c>
      <c r="G35" s="320">
        <v>39990</v>
      </c>
      <c r="H35" s="326">
        <v>37371</v>
      </c>
      <c r="I35" s="331">
        <v>39499</v>
      </c>
      <c r="J35" s="414"/>
      <c r="K35" s="13"/>
      <c r="L35" s="13"/>
    </row>
    <row r="36" spans="2:13" ht="10.5" customHeight="1" x14ac:dyDescent="0.35">
      <c r="B36" s="465"/>
      <c r="C36" s="283" t="s">
        <v>144</v>
      </c>
      <c r="D36" s="162">
        <v>14324</v>
      </c>
      <c r="E36" s="168">
        <v>12059.579999999998</v>
      </c>
      <c r="F36" s="169">
        <v>11136.546900000001</v>
      </c>
      <c r="G36" s="170">
        <v>10057</v>
      </c>
      <c r="H36" s="273">
        <v>12775</v>
      </c>
      <c r="I36" s="272">
        <v>9333</v>
      </c>
      <c r="J36" s="383"/>
      <c r="K36" s="13"/>
      <c r="L36" s="13"/>
    </row>
    <row r="37" spans="2:13" ht="10.5" customHeight="1" thickBot="1" x14ac:dyDescent="0.4">
      <c r="B37" s="465"/>
      <c r="C37" s="283" t="s">
        <v>145</v>
      </c>
      <c r="D37" s="162">
        <v>216.85</v>
      </c>
      <c r="E37" s="166">
        <v>214.50569999999999</v>
      </c>
      <c r="F37" s="173">
        <v>185.67944499999999</v>
      </c>
      <c r="G37" s="165">
        <v>176.59</v>
      </c>
      <c r="H37" s="273">
        <v>179.21</v>
      </c>
      <c r="I37" s="272">
        <v>139.46799999999999</v>
      </c>
      <c r="J37" s="384">
        <v>108.863</v>
      </c>
      <c r="K37" s="13"/>
      <c r="L37" s="13"/>
    </row>
    <row r="38" spans="2:13" ht="10.5" customHeight="1" thickBot="1" x14ac:dyDescent="0.4">
      <c r="B38" s="466"/>
      <c r="C38" s="284" t="s">
        <v>146</v>
      </c>
      <c r="D38" s="275">
        <f>(D37*1000)/D36</f>
        <v>15.138927673834125</v>
      </c>
      <c r="E38" s="316">
        <f>(E37*1000)/E36</f>
        <v>17.787161741951213</v>
      </c>
      <c r="F38" s="330">
        <f>(F37*1000)/F36</f>
        <v>16.672981909679738</v>
      </c>
      <c r="G38" s="278">
        <f>(G37*1000)/G36</f>
        <v>17.558914189122003</v>
      </c>
      <c r="H38" s="279">
        <v>14</v>
      </c>
      <c r="I38" s="324">
        <v>15</v>
      </c>
      <c r="J38" s="384"/>
      <c r="K38" s="13"/>
      <c r="L38" s="13"/>
    </row>
    <row r="39" spans="2:13" ht="10.5" customHeight="1" x14ac:dyDescent="0.35">
      <c r="B39" s="464" t="s">
        <v>155</v>
      </c>
      <c r="C39" s="282" t="s">
        <v>143</v>
      </c>
      <c r="D39" s="174">
        <v>720</v>
      </c>
      <c r="E39" s="175">
        <v>695.76</v>
      </c>
      <c r="F39" s="308">
        <v>595.73618199999999</v>
      </c>
      <c r="G39" s="176">
        <v>198</v>
      </c>
      <c r="H39" s="325">
        <v>700</v>
      </c>
      <c r="I39" s="309">
        <v>820</v>
      </c>
      <c r="J39" s="309">
        <v>522</v>
      </c>
      <c r="K39" s="13"/>
      <c r="L39" s="13"/>
    </row>
    <row r="40" spans="2:13" ht="10.5" customHeight="1" x14ac:dyDescent="0.35">
      <c r="B40" s="465"/>
      <c r="C40" s="283" t="s">
        <v>144</v>
      </c>
      <c r="D40" s="162">
        <v>184</v>
      </c>
      <c r="E40" s="168">
        <v>257.11</v>
      </c>
      <c r="F40" s="169">
        <v>248.57430600000001</v>
      </c>
      <c r="G40" s="165">
        <v>106</v>
      </c>
      <c r="H40" s="273">
        <v>201</v>
      </c>
      <c r="I40" s="272">
        <v>331</v>
      </c>
      <c r="J40" s="272">
        <v>235</v>
      </c>
      <c r="K40" s="13"/>
      <c r="L40" s="13"/>
    </row>
    <row r="41" spans="2:13" ht="10.5" customHeight="1" x14ac:dyDescent="0.35">
      <c r="B41" s="465"/>
      <c r="C41" s="283" t="s">
        <v>145</v>
      </c>
      <c r="D41" s="162">
        <v>2.5</v>
      </c>
      <c r="E41" s="166">
        <v>3.22634</v>
      </c>
      <c r="F41" s="173">
        <v>5.0983357699999994</v>
      </c>
      <c r="G41" s="177">
        <v>1.7</v>
      </c>
      <c r="H41" s="273">
        <v>3.24</v>
      </c>
      <c r="I41" s="272">
        <v>3.5830000000000002</v>
      </c>
      <c r="J41" s="272">
        <v>4.423</v>
      </c>
      <c r="K41" s="13"/>
      <c r="L41" s="13"/>
      <c r="M41">
        <v>4423</v>
      </c>
    </row>
    <row r="42" spans="2:13" ht="10.5" customHeight="1" thickBot="1" x14ac:dyDescent="0.4">
      <c r="B42" s="466"/>
      <c r="C42" s="284" t="s">
        <v>146</v>
      </c>
      <c r="D42" s="275">
        <f>(D41*1000)/D40</f>
        <v>13.586956521739131</v>
      </c>
      <c r="E42" s="276">
        <f>(E41*1000)/E40</f>
        <v>12.548481194819338</v>
      </c>
      <c r="F42" s="277">
        <f>(F41*1000)/F40</f>
        <v>20.510308776644035</v>
      </c>
      <c r="G42" s="278">
        <f>(G41*1000)/G40</f>
        <v>16.037735849056602</v>
      </c>
      <c r="H42" s="279">
        <v>16</v>
      </c>
      <c r="I42" s="324">
        <v>11</v>
      </c>
      <c r="J42" s="324">
        <f>M41/J40</f>
        <v>18.821276595744681</v>
      </c>
      <c r="K42" s="13"/>
      <c r="L42" s="13"/>
    </row>
    <row r="43" spans="2:13" ht="15.5" x14ac:dyDescent="0.35">
      <c r="B43" s="442" t="s">
        <v>304</v>
      </c>
      <c r="C43" s="442"/>
      <c r="D43" s="442"/>
      <c r="E43" s="442"/>
      <c r="F43" s="13"/>
      <c r="G43" s="13"/>
      <c r="H43" s="202"/>
      <c r="I43" s="333"/>
      <c r="J43" s="333"/>
      <c r="K43" s="13"/>
      <c r="L43" s="13"/>
    </row>
  </sheetData>
  <mergeCells count="13">
    <mergeCell ref="B1:I1"/>
    <mergeCell ref="B43:E43"/>
    <mergeCell ref="B39:B42"/>
    <mergeCell ref="B2:C2"/>
    <mergeCell ref="B3:B6"/>
    <mergeCell ref="B7:B10"/>
    <mergeCell ref="B11:B14"/>
    <mergeCell ref="B23:B26"/>
    <mergeCell ref="B27:B30"/>
    <mergeCell ref="B15:B18"/>
    <mergeCell ref="B19:B22"/>
    <mergeCell ref="B31:B34"/>
    <mergeCell ref="B35:B38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3B162-AB59-47D3-BE2B-A789C03F5851}">
  <dimension ref="B1:Q47"/>
  <sheetViews>
    <sheetView tabSelected="1" topLeftCell="A23" zoomScale="81" zoomScaleNormal="81" workbookViewId="0">
      <selection activeCell="S38" sqref="S38"/>
    </sheetView>
  </sheetViews>
  <sheetFormatPr defaultRowHeight="14.5" x14ac:dyDescent="0.35"/>
  <cols>
    <col min="2" max="2" width="40.81640625" bestFit="1" customWidth="1"/>
    <col min="3" max="3" width="24.08984375" customWidth="1"/>
    <col min="4" max="4" width="12.6328125" hidden="1" customWidth="1"/>
    <col min="5" max="5" width="11.1796875" customWidth="1"/>
    <col min="6" max="6" width="11.6328125" customWidth="1"/>
    <col min="7" max="7" width="11.54296875" customWidth="1"/>
    <col min="8" max="8" width="10.90625" customWidth="1"/>
    <col min="13" max="13" width="9.1796875" hidden="1" customWidth="1"/>
    <col min="14" max="17" width="0" hidden="1" customWidth="1"/>
  </cols>
  <sheetData>
    <row r="1" spans="2:17" ht="16" x14ac:dyDescent="0.35">
      <c r="B1" s="482" t="s">
        <v>308</v>
      </c>
      <c r="C1" s="482"/>
      <c r="D1" s="482"/>
      <c r="E1" s="482"/>
      <c r="F1" s="482"/>
      <c r="G1" s="482"/>
      <c r="H1" s="15"/>
      <c r="I1" s="15"/>
      <c r="J1" s="15"/>
      <c r="K1" s="15"/>
      <c r="L1" s="15"/>
    </row>
    <row r="2" spans="2:17" ht="8" customHeight="1" thickBot="1" x14ac:dyDescent="0.4">
      <c r="B2" s="238"/>
      <c r="C2" s="238"/>
      <c r="D2" s="238"/>
      <c r="E2" s="238"/>
      <c r="F2" s="238"/>
      <c r="G2" s="238"/>
      <c r="H2" s="15"/>
      <c r="I2" s="15"/>
      <c r="J2" s="15"/>
      <c r="K2" s="15"/>
      <c r="L2" s="15"/>
    </row>
    <row r="3" spans="2:17" ht="27" customHeight="1" thickBot="1" x14ac:dyDescent="0.4">
      <c r="B3" s="487" t="s">
        <v>171</v>
      </c>
      <c r="C3" s="488"/>
      <c r="D3" s="300">
        <v>2017</v>
      </c>
      <c r="E3" s="300">
        <v>2018</v>
      </c>
      <c r="F3" s="300">
        <v>2019</v>
      </c>
      <c r="G3" s="300">
        <v>2020</v>
      </c>
      <c r="H3" s="300">
        <v>2021</v>
      </c>
      <c r="I3" s="301">
        <v>2022</v>
      </c>
      <c r="J3" s="301">
        <v>2023</v>
      </c>
      <c r="K3" s="301">
        <v>2024</v>
      </c>
      <c r="L3" s="15"/>
    </row>
    <row r="4" spans="2:17" ht="16" x14ac:dyDescent="0.35">
      <c r="B4" s="481" t="s">
        <v>156</v>
      </c>
      <c r="C4" s="338" t="s">
        <v>157</v>
      </c>
      <c r="D4" s="339">
        <v>336</v>
      </c>
      <c r="E4" s="340">
        <v>657.97</v>
      </c>
      <c r="F4" s="341">
        <v>533.67142857142858</v>
      </c>
      <c r="G4" s="342">
        <v>445.76675100000006</v>
      </c>
      <c r="H4" s="343">
        <v>303.75</v>
      </c>
      <c r="I4" s="344">
        <v>330.01</v>
      </c>
      <c r="J4" s="344">
        <v>244.82</v>
      </c>
      <c r="K4" s="344">
        <v>175.24</v>
      </c>
      <c r="L4" s="15"/>
      <c r="Q4">
        <v>24061</v>
      </c>
    </row>
    <row r="5" spans="2:17" ht="16" x14ac:dyDescent="0.35">
      <c r="B5" s="479"/>
      <c r="C5" s="303" t="s">
        <v>145</v>
      </c>
      <c r="D5" s="23">
        <v>7</v>
      </c>
      <c r="E5" s="16">
        <v>31.3</v>
      </c>
      <c r="F5" s="19">
        <v>44.148489999999995</v>
      </c>
      <c r="G5" s="26">
        <v>57.132829399999999</v>
      </c>
      <c r="H5" s="24">
        <v>97.7</v>
      </c>
      <c r="I5" s="294">
        <v>51.27</v>
      </c>
      <c r="J5" s="294">
        <v>24.061</v>
      </c>
      <c r="K5" s="294">
        <v>24.010999999999999</v>
      </c>
      <c r="L5" s="15"/>
      <c r="M5" s="14">
        <v>24011</v>
      </c>
    </row>
    <row r="6" spans="2:17" ht="16.5" thickBot="1" x14ac:dyDescent="0.4">
      <c r="B6" s="480"/>
      <c r="C6" s="304" t="s">
        <v>158</v>
      </c>
      <c r="D6" s="345">
        <v>21</v>
      </c>
      <c r="E6" s="412">
        <f>(E5*1000)/E4</f>
        <v>47.570557928173017</v>
      </c>
      <c r="F6" s="411">
        <f>(F5*1000)/F4</f>
        <v>82.725976389967073</v>
      </c>
      <c r="G6" s="411">
        <f>(G5*1000)/G4</f>
        <v>128.16754338862745</v>
      </c>
      <c r="H6" s="411">
        <f>(H5*1000)/H4</f>
        <v>321.64609053497941</v>
      </c>
      <c r="I6" s="410">
        <v>155</v>
      </c>
      <c r="J6" s="346">
        <f>Q4/J4</f>
        <v>98.280369250878195</v>
      </c>
      <c r="K6" s="346">
        <f>M5/K4</f>
        <v>137.01780415430267</v>
      </c>
      <c r="L6" s="15"/>
    </row>
    <row r="7" spans="2:17" ht="16" x14ac:dyDescent="0.35">
      <c r="B7" s="481" t="s">
        <v>159</v>
      </c>
      <c r="C7" s="338" t="s">
        <v>157</v>
      </c>
      <c r="D7" s="347">
        <v>262</v>
      </c>
      <c r="E7" s="340">
        <v>160.36000000000001</v>
      </c>
      <c r="F7" s="348">
        <v>148.88</v>
      </c>
      <c r="G7" s="342">
        <v>241.00133349999999</v>
      </c>
      <c r="H7" s="343">
        <v>119.85</v>
      </c>
      <c r="I7" s="349">
        <v>126.33</v>
      </c>
      <c r="J7" s="349">
        <v>91.55</v>
      </c>
      <c r="K7" s="349">
        <v>106.68</v>
      </c>
      <c r="L7" s="15"/>
    </row>
    <row r="8" spans="2:17" ht="16" x14ac:dyDescent="0.35">
      <c r="B8" s="479"/>
      <c r="C8" s="303" t="s">
        <v>145</v>
      </c>
      <c r="D8" s="30">
        <v>362</v>
      </c>
      <c r="E8" s="16">
        <v>296.89999999999998</v>
      </c>
      <c r="F8" s="20">
        <v>294.57934999999998</v>
      </c>
      <c r="G8" s="26">
        <v>464.78224599999999</v>
      </c>
      <c r="H8" s="24">
        <v>250.62</v>
      </c>
      <c r="I8" s="295">
        <v>265.32</v>
      </c>
      <c r="J8" s="295">
        <v>195.16399999999999</v>
      </c>
      <c r="K8" s="295">
        <v>190.17500000000001</v>
      </c>
      <c r="L8" s="15"/>
      <c r="M8" s="404">
        <v>190175</v>
      </c>
    </row>
    <row r="9" spans="2:17" ht="16.5" thickBot="1" x14ac:dyDescent="0.4">
      <c r="B9" s="480"/>
      <c r="C9" s="304" t="s">
        <v>158</v>
      </c>
      <c r="D9" s="350">
        <v>1381</v>
      </c>
      <c r="E9" s="291">
        <f>(E8*1000)/E7</f>
        <v>1851.4592167622848</v>
      </c>
      <c r="F9" s="351">
        <f>(F8*1000)/F7</f>
        <v>1978.6361499193981</v>
      </c>
      <c r="G9" s="351">
        <f>(G8*1000)/G7</f>
        <v>1928.546366321247</v>
      </c>
      <c r="H9" s="351">
        <f>(H8*1000)/H7</f>
        <v>2091.1138923654571</v>
      </c>
      <c r="I9" s="352">
        <v>210</v>
      </c>
      <c r="J9" s="352">
        <v>2131</v>
      </c>
      <c r="K9" s="352">
        <f>M8/K7</f>
        <v>1782.6677915260591</v>
      </c>
      <c r="L9" s="15"/>
    </row>
    <row r="10" spans="2:17" ht="16" x14ac:dyDescent="0.35">
      <c r="B10" s="481" t="s">
        <v>307</v>
      </c>
      <c r="C10" s="338" t="s">
        <v>157</v>
      </c>
      <c r="D10" s="339">
        <v>85</v>
      </c>
      <c r="E10" s="340">
        <v>50.91</v>
      </c>
      <c r="F10" s="353">
        <v>80.929999999999993</v>
      </c>
      <c r="G10" s="342">
        <v>32.579061199999998</v>
      </c>
      <c r="H10" s="343">
        <v>10.97</v>
      </c>
      <c r="I10" s="354">
        <v>13.38</v>
      </c>
      <c r="J10" s="354">
        <v>28.87</v>
      </c>
      <c r="K10" s="354">
        <v>25.16</v>
      </c>
      <c r="L10" s="15"/>
    </row>
    <row r="11" spans="2:17" ht="16" x14ac:dyDescent="0.35">
      <c r="B11" s="479"/>
      <c r="C11" s="303" t="s">
        <v>145</v>
      </c>
      <c r="D11" s="23">
        <v>20</v>
      </c>
      <c r="E11" s="16">
        <v>26.22</v>
      </c>
      <c r="F11" s="17">
        <v>31.229459999999996</v>
      </c>
      <c r="G11" s="26">
        <v>19.516719699999996</v>
      </c>
      <c r="H11" s="24">
        <v>10.28</v>
      </c>
      <c r="I11" s="285">
        <v>12.11</v>
      </c>
      <c r="J11" s="285">
        <v>23.824999999999999</v>
      </c>
      <c r="K11" s="285">
        <v>19.07</v>
      </c>
      <c r="L11" s="15"/>
      <c r="M11" s="405">
        <v>19070</v>
      </c>
    </row>
    <row r="12" spans="2:17" ht="16.5" thickBot="1" x14ac:dyDescent="0.4">
      <c r="B12" s="480"/>
      <c r="C12" s="304" t="s">
        <v>158</v>
      </c>
      <c r="D12" s="345">
        <v>239</v>
      </c>
      <c r="E12" s="291">
        <f>(E11*1000)/E10</f>
        <v>515.02651738361817</v>
      </c>
      <c r="F12" s="292">
        <f>(F11*1000)/F10</f>
        <v>385.88236747806747</v>
      </c>
      <c r="G12" s="292">
        <f>(G11*1000)/G10</f>
        <v>599.05715453826508</v>
      </c>
      <c r="H12" s="292">
        <f>(H11*1000)/H10</f>
        <v>937.10118505013668</v>
      </c>
      <c r="I12" s="293">
        <v>905</v>
      </c>
      <c r="J12" s="293">
        <v>825</v>
      </c>
      <c r="K12" s="293">
        <f>M11/K10</f>
        <v>757.94912559618444</v>
      </c>
      <c r="L12" s="15"/>
    </row>
    <row r="13" spans="2:17" ht="16" x14ac:dyDescent="0.35">
      <c r="B13" s="481" t="s">
        <v>300</v>
      </c>
      <c r="C13" s="338" t="s">
        <v>157</v>
      </c>
      <c r="D13" s="339">
        <v>23</v>
      </c>
      <c r="E13" s="340">
        <v>18.21</v>
      </c>
      <c r="F13" s="353">
        <v>12.490000000000002</v>
      </c>
      <c r="G13" s="342">
        <v>17.434959200000002</v>
      </c>
      <c r="H13" s="343">
        <v>11.13</v>
      </c>
      <c r="I13" s="354">
        <v>10.210000000000001</v>
      </c>
      <c r="J13" s="354">
        <v>8.3000000000000007</v>
      </c>
      <c r="K13" s="354">
        <v>10.61</v>
      </c>
      <c r="L13" s="15"/>
    </row>
    <row r="14" spans="2:17" ht="16" x14ac:dyDescent="0.35">
      <c r="B14" s="479"/>
      <c r="C14" s="303" t="s">
        <v>145</v>
      </c>
      <c r="D14" s="29">
        <v>21</v>
      </c>
      <c r="E14" s="16">
        <v>20.87</v>
      </c>
      <c r="F14" s="17">
        <v>15.374900000000002</v>
      </c>
      <c r="G14" s="26">
        <v>23.05791146</v>
      </c>
      <c r="H14" s="24">
        <v>12.64</v>
      </c>
      <c r="I14" s="286">
        <v>11.8</v>
      </c>
      <c r="J14" s="286">
        <v>7.681</v>
      </c>
      <c r="K14" s="286">
        <v>10.313000000000001</v>
      </c>
      <c r="L14" s="15"/>
      <c r="M14" s="407">
        <v>10313</v>
      </c>
    </row>
    <row r="15" spans="2:17" ht="16.5" thickBot="1" x14ac:dyDescent="0.4">
      <c r="B15" s="480"/>
      <c r="C15" s="304" t="s">
        <v>158</v>
      </c>
      <c r="D15" s="355">
        <v>884</v>
      </c>
      <c r="E15" s="291">
        <f>(E14*1000)/E13</f>
        <v>1146.0735859417903</v>
      </c>
      <c r="F15" s="292">
        <f>(F14*1000)/F13</f>
        <v>1230.97678142514</v>
      </c>
      <c r="G15" s="356">
        <f>(G14*1000)/G13</f>
        <v>1322.5102046697073</v>
      </c>
      <c r="H15" s="356">
        <f>(H14*1000)/H13</f>
        <v>1135.6693620844565</v>
      </c>
      <c r="I15" s="357">
        <v>1156</v>
      </c>
      <c r="J15" s="357">
        <v>925.4</v>
      </c>
      <c r="K15" s="357">
        <f>M14/K13</f>
        <v>972.00754005655051</v>
      </c>
      <c r="L15" s="15"/>
      <c r="P15">
        <v>24484</v>
      </c>
    </row>
    <row r="16" spans="2:17" ht="16" x14ac:dyDescent="0.35">
      <c r="B16" s="481" t="s">
        <v>160</v>
      </c>
      <c r="C16" s="338" t="s">
        <v>157</v>
      </c>
      <c r="D16" s="347">
        <v>328</v>
      </c>
      <c r="E16" s="340">
        <v>385.08</v>
      </c>
      <c r="F16" s="353">
        <v>383.02</v>
      </c>
      <c r="G16" s="342">
        <v>407.48457900000005</v>
      </c>
      <c r="H16" s="343">
        <v>231.51</v>
      </c>
      <c r="I16" s="349">
        <v>255.37</v>
      </c>
      <c r="J16" s="344">
        <v>227.56</v>
      </c>
      <c r="K16" s="344">
        <v>225.76</v>
      </c>
      <c r="L16" s="15"/>
      <c r="P16">
        <f>P15/J4</f>
        <v>100.00816926721673</v>
      </c>
    </row>
    <row r="17" spans="2:13" ht="16" x14ac:dyDescent="0.35">
      <c r="B17" s="479"/>
      <c r="C17" s="303" t="s">
        <v>145</v>
      </c>
      <c r="D17" s="31">
        <v>1396</v>
      </c>
      <c r="E17" s="16">
        <v>1236.1300000000001</v>
      </c>
      <c r="F17" s="19">
        <v>1356.5405000000001</v>
      </c>
      <c r="G17" s="27">
        <v>1277.716255</v>
      </c>
      <c r="H17" s="25">
        <v>1025.55</v>
      </c>
      <c r="I17" s="289">
        <v>654.34</v>
      </c>
      <c r="J17" s="294">
        <v>782.29300000000001</v>
      </c>
      <c r="K17" s="294">
        <v>752.85400000000004</v>
      </c>
      <c r="L17" s="15"/>
      <c r="M17">
        <v>752854</v>
      </c>
    </row>
    <row r="18" spans="2:13" ht="16.5" thickBot="1" x14ac:dyDescent="0.4">
      <c r="B18" s="480"/>
      <c r="C18" s="304" t="s">
        <v>158</v>
      </c>
      <c r="D18" s="358">
        <v>4250</v>
      </c>
      <c r="E18" s="291">
        <f>(E17*1000)/E16</f>
        <v>3210.0602472213568</v>
      </c>
      <c r="F18" s="359">
        <f>(F17*1000)/F16</f>
        <v>3541.6962560701791</v>
      </c>
      <c r="G18" s="360">
        <f>(G17*1000)/G16</f>
        <v>3135.6186733142604</v>
      </c>
      <c r="H18" s="359">
        <f>(H17*1000)/H16</f>
        <v>4429.8302449138264</v>
      </c>
      <c r="I18" s="361">
        <v>2562</v>
      </c>
      <c r="J18" s="361">
        <v>3238</v>
      </c>
      <c r="K18" s="361">
        <f>M17/K16</f>
        <v>3334.7537207654145</v>
      </c>
      <c r="L18" s="15"/>
    </row>
    <row r="19" spans="2:13" ht="16" x14ac:dyDescent="0.35">
      <c r="B19" s="481" t="s">
        <v>161</v>
      </c>
      <c r="C19" s="338" t="s">
        <v>157</v>
      </c>
      <c r="D19" s="339">
        <v>227</v>
      </c>
      <c r="E19" s="340">
        <v>151.19999999999999</v>
      </c>
      <c r="F19" s="348">
        <v>125.59000000000002</v>
      </c>
      <c r="G19" s="342">
        <v>108.22562579999999</v>
      </c>
      <c r="H19" s="343">
        <v>87.6</v>
      </c>
      <c r="I19" s="354">
        <v>92.5</v>
      </c>
      <c r="J19" s="354">
        <v>74.91</v>
      </c>
      <c r="K19" s="354">
        <v>70.430000000000007</v>
      </c>
      <c r="L19" s="15"/>
    </row>
    <row r="20" spans="2:13" ht="16" x14ac:dyDescent="0.35">
      <c r="B20" s="479"/>
      <c r="C20" s="303" t="s">
        <v>145</v>
      </c>
      <c r="D20" s="23">
        <v>343</v>
      </c>
      <c r="E20" s="16">
        <v>128.49</v>
      </c>
      <c r="F20" s="20">
        <v>90.508049999999983</v>
      </c>
      <c r="G20" s="26">
        <v>93.962357999999981</v>
      </c>
      <c r="H20" s="24">
        <v>166.65</v>
      </c>
      <c r="I20" s="285">
        <v>110.21</v>
      </c>
      <c r="J20" s="285">
        <v>89.376999999999995</v>
      </c>
      <c r="K20" s="285">
        <v>85.126999999999995</v>
      </c>
      <c r="L20" s="15"/>
      <c r="M20" s="407">
        <v>85127</v>
      </c>
    </row>
    <row r="21" spans="2:13" ht="16.5" thickBot="1" x14ac:dyDescent="0.4">
      <c r="B21" s="480"/>
      <c r="C21" s="304" t="s">
        <v>158</v>
      </c>
      <c r="D21" s="345">
        <v>1515</v>
      </c>
      <c r="E21" s="291">
        <f>(E20*1000)/E19</f>
        <v>849.80158730158746</v>
      </c>
      <c r="F21" s="292">
        <f>(F20*1000)/F19</f>
        <v>720.66287124771065</v>
      </c>
      <c r="G21" s="292">
        <f>(G20*1000)/G19</f>
        <v>868.20803580883512</v>
      </c>
      <c r="H21" s="292">
        <f>(H20*1000)/H19</f>
        <v>1902.3972602739727</v>
      </c>
      <c r="I21" s="293">
        <v>1191</v>
      </c>
      <c r="J21" s="293">
        <v>1193</v>
      </c>
      <c r="K21" s="293">
        <f>M20/K19</f>
        <v>1208.6752804202754</v>
      </c>
      <c r="L21" s="15"/>
    </row>
    <row r="22" spans="2:13" ht="16" x14ac:dyDescent="0.35">
      <c r="B22" s="481" t="s">
        <v>162</v>
      </c>
      <c r="C22" s="338" t="s">
        <v>157</v>
      </c>
      <c r="D22" s="339">
        <v>171</v>
      </c>
      <c r="E22" s="340">
        <v>71.52</v>
      </c>
      <c r="F22" s="348">
        <v>64.64</v>
      </c>
      <c r="G22" s="342">
        <v>82.767540999999994</v>
      </c>
      <c r="H22" s="343">
        <v>30.74</v>
      </c>
      <c r="I22" s="354">
        <v>37.130000000000003</v>
      </c>
      <c r="J22" s="354">
        <v>33.19</v>
      </c>
      <c r="K22" s="354">
        <v>26.43</v>
      </c>
      <c r="L22" s="15"/>
    </row>
    <row r="23" spans="2:13" ht="16" x14ac:dyDescent="0.35">
      <c r="B23" s="479"/>
      <c r="C23" s="303" t="s">
        <v>145</v>
      </c>
      <c r="D23" s="32">
        <v>546</v>
      </c>
      <c r="E23" s="16">
        <v>110.88</v>
      </c>
      <c r="F23" s="20">
        <v>102.92660999999998</v>
      </c>
      <c r="G23" s="26">
        <v>145.93069300000002</v>
      </c>
      <c r="H23" s="24">
        <v>99.38</v>
      </c>
      <c r="I23" s="408">
        <v>67.25</v>
      </c>
      <c r="J23" s="408">
        <v>58.372</v>
      </c>
      <c r="K23" s="409">
        <v>39.442999999999998</v>
      </c>
      <c r="L23" s="15"/>
      <c r="M23">
        <v>39443</v>
      </c>
    </row>
    <row r="24" spans="2:13" ht="16.5" thickBot="1" x14ac:dyDescent="0.4">
      <c r="B24" s="480"/>
      <c r="C24" s="304" t="s">
        <v>158</v>
      </c>
      <c r="D24" s="355">
        <v>3201</v>
      </c>
      <c r="E24" s="291">
        <f>(E23*1000)/E22</f>
        <v>1550.3355704697988</v>
      </c>
      <c r="F24" s="356">
        <f>(F23*1000)/F22</f>
        <v>1592.3052289603959</v>
      </c>
      <c r="G24" s="356">
        <f>(G23*1000)/G22</f>
        <v>1763.1391634553943</v>
      </c>
      <c r="H24" s="356">
        <f>(H23*1000)/H22</f>
        <v>3232.9212752114508</v>
      </c>
      <c r="I24" s="357">
        <v>1804</v>
      </c>
      <c r="J24" s="357">
        <v>1759</v>
      </c>
      <c r="K24" s="357">
        <f>M23/K22</f>
        <v>1492.3571698827091</v>
      </c>
      <c r="L24" s="15"/>
    </row>
    <row r="25" spans="2:13" ht="16" x14ac:dyDescent="0.35">
      <c r="B25" s="481" t="s">
        <v>163</v>
      </c>
      <c r="C25" s="338" t="s">
        <v>157</v>
      </c>
      <c r="D25" s="339">
        <v>25</v>
      </c>
      <c r="E25" s="340">
        <v>19.600000000000001</v>
      </c>
      <c r="F25" s="348">
        <v>24.32</v>
      </c>
      <c r="G25" s="342">
        <v>38.300856000000003</v>
      </c>
      <c r="H25" s="343">
        <v>16.2</v>
      </c>
      <c r="I25" s="354">
        <v>20.13</v>
      </c>
      <c r="J25" s="354">
        <v>19.22</v>
      </c>
      <c r="K25" s="354">
        <v>16.63</v>
      </c>
      <c r="L25" s="15"/>
    </row>
    <row r="26" spans="2:13" ht="16" x14ac:dyDescent="0.35">
      <c r="B26" s="479"/>
      <c r="C26" s="303" t="s">
        <v>145</v>
      </c>
      <c r="D26" s="23">
        <v>31</v>
      </c>
      <c r="E26" s="16">
        <v>28.41</v>
      </c>
      <c r="F26" s="20">
        <v>21.190170000000002</v>
      </c>
      <c r="G26" s="26">
        <v>35.416867999999994</v>
      </c>
      <c r="H26" s="24">
        <v>28.2</v>
      </c>
      <c r="I26" s="285">
        <v>29.21</v>
      </c>
      <c r="J26" s="285">
        <v>24.635999999999999</v>
      </c>
      <c r="K26" s="285">
        <v>22.183</v>
      </c>
      <c r="L26" s="15"/>
      <c r="M26" s="405">
        <v>22183</v>
      </c>
    </row>
    <row r="27" spans="2:13" ht="16.5" thickBot="1" x14ac:dyDescent="0.4">
      <c r="B27" s="480"/>
      <c r="C27" s="304" t="s">
        <v>158</v>
      </c>
      <c r="D27" s="355">
        <v>1266</v>
      </c>
      <c r="E27" s="291">
        <f>(E26*1000)/E25</f>
        <v>1449.4897959183672</v>
      </c>
      <c r="F27" s="292">
        <f>(F26*1000)/F25</f>
        <v>871.3063322368422</v>
      </c>
      <c r="G27" s="356">
        <f>(G26*1000)/G25</f>
        <v>924.7017351257108</v>
      </c>
      <c r="H27" s="356">
        <f>(H26*1000)/H25</f>
        <v>1740.7407407407409</v>
      </c>
      <c r="I27" s="357">
        <v>1456</v>
      </c>
      <c r="J27" s="357">
        <v>1282</v>
      </c>
      <c r="K27" s="357">
        <f>M26/K25</f>
        <v>1333.9146121467229</v>
      </c>
      <c r="L27" s="15"/>
    </row>
    <row r="28" spans="2:13" ht="16" x14ac:dyDescent="0.35">
      <c r="B28" s="481" t="s">
        <v>164</v>
      </c>
      <c r="C28" s="485" t="s">
        <v>145</v>
      </c>
      <c r="D28" s="483">
        <v>121</v>
      </c>
      <c r="E28" s="489">
        <v>84.69</v>
      </c>
      <c r="F28" s="491">
        <v>108.4919</v>
      </c>
      <c r="G28" s="474">
        <v>153.517303</v>
      </c>
      <c r="H28" s="474">
        <v>74.37</v>
      </c>
      <c r="I28" s="476">
        <v>48.6</v>
      </c>
      <c r="J28" s="476">
        <v>45.258000000000003</v>
      </c>
      <c r="K28" s="476">
        <v>47.015000000000001</v>
      </c>
      <c r="L28" s="15"/>
    </row>
    <row r="29" spans="2:13" ht="25" customHeight="1" thickBot="1" x14ac:dyDescent="0.4">
      <c r="B29" s="480"/>
      <c r="C29" s="486"/>
      <c r="D29" s="484"/>
      <c r="E29" s="490"/>
      <c r="F29" s="492"/>
      <c r="G29" s="475"/>
      <c r="H29" s="475"/>
      <c r="I29" s="477"/>
      <c r="J29" s="477"/>
      <c r="K29" s="477"/>
    </row>
    <row r="30" spans="2:13" ht="16" x14ac:dyDescent="0.35">
      <c r="B30" s="481" t="s">
        <v>165</v>
      </c>
      <c r="C30" s="338" t="s">
        <v>157</v>
      </c>
      <c r="D30" s="339">
        <v>217</v>
      </c>
      <c r="E30" s="340">
        <v>87.86</v>
      </c>
      <c r="F30" s="341">
        <v>89.960000000000008</v>
      </c>
      <c r="G30" s="342">
        <v>114.746815</v>
      </c>
      <c r="H30" s="343">
        <v>43.98</v>
      </c>
      <c r="I30" s="354">
        <v>48.55</v>
      </c>
      <c r="J30" s="354">
        <v>52.27</v>
      </c>
      <c r="K30" s="354">
        <v>50.518999999999998</v>
      </c>
      <c r="L30" s="15"/>
    </row>
    <row r="31" spans="2:13" ht="16" x14ac:dyDescent="0.35">
      <c r="B31" s="479"/>
      <c r="C31" s="303" t="s">
        <v>145</v>
      </c>
      <c r="D31" s="23">
        <v>403</v>
      </c>
      <c r="E31" s="16">
        <v>204.44</v>
      </c>
      <c r="F31" s="19">
        <v>271.54626999999999</v>
      </c>
      <c r="G31" s="26">
        <v>215.47753999999995</v>
      </c>
      <c r="H31" s="24">
        <v>121.76</v>
      </c>
      <c r="I31" s="285">
        <v>77.14</v>
      </c>
      <c r="J31" s="285">
        <v>86.926000000000002</v>
      </c>
      <c r="K31" s="285">
        <v>85.43</v>
      </c>
      <c r="L31" s="15"/>
      <c r="M31" s="407">
        <v>85430</v>
      </c>
    </row>
    <row r="32" spans="2:13" ht="16.5" thickBot="1" x14ac:dyDescent="0.4">
      <c r="B32" s="480"/>
      <c r="C32" s="304" t="s">
        <v>158</v>
      </c>
      <c r="D32" s="355">
        <v>1860</v>
      </c>
      <c r="E32" s="291">
        <f>(E31*1000)/E30</f>
        <v>2326.8836785795584</v>
      </c>
      <c r="F32" s="356">
        <f>(F31*1000)/F30</f>
        <v>3018.5223432636726</v>
      </c>
      <c r="G32" s="356">
        <f>(G31*1000)/G30</f>
        <v>1877.8520344987348</v>
      </c>
      <c r="H32" s="356">
        <f>(H31*1000)/H30</f>
        <v>2768.5311505229652</v>
      </c>
      <c r="I32" s="357">
        <v>1588</v>
      </c>
      <c r="J32" s="357">
        <v>1663</v>
      </c>
      <c r="K32" s="357">
        <f>M31/K30</f>
        <v>1691.0469328371505</v>
      </c>
      <c r="L32" s="15"/>
    </row>
    <row r="33" spans="2:13" ht="16" x14ac:dyDescent="0.35">
      <c r="B33" s="481" t="s">
        <v>166</v>
      </c>
      <c r="C33" s="338" t="s">
        <v>157</v>
      </c>
      <c r="D33" s="339" t="s">
        <v>16</v>
      </c>
      <c r="E33" s="340">
        <v>47.61</v>
      </c>
      <c r="F33" s="341">
        <v>8.14</v>
      </c>
      <c r="G33" s="342">
        <v>30.4792652</v>
      </c>
      <c r="H33" s="343">
        <v>23.28</v>
      </c>
      <c r="I33" s="354">
        <v>13.19</v>
      </c>
      <c r="J33" s="354">
        <v>15.58</v>
      </c>
      <c r="K33" s="354">
        <v>13.57</v>
      </c>
      <c r="L33" s="15"/>
    </row>
    <row r="34" spans="2:13" ht="16" x14ac:dyDescent="0.35">
      <c r="B34" s="479"/>
      <c r="C34" s="303" t="s">
        <v>145</v>
      </c>
      <c r="D34" s="33" t="s">
        <v>16</v>
      </c>
      <c r="E34" s="16">
        <v>169.3</v>
      </c>
      <c r="F34" s="19">
        <v>102.90670999999999</v>
      </c>
      <c r="G34" s="26">
        <v>164.46290500000001</v>
      </c>
      <c r="H34" s="24">
        <v>69.98</v>
      </c>
      <c r="I34" s="287">
        <v>69.69</v>
      </c>
      <c r="J34" s="287">
        <v>63.688000000000002</v>
      </c>
      <c r="K34" s="287">
        <v>51.887</v>
      </c>
      <c r="L34" s="15"/>
      <c r="M34" s="406">
        <v>51887</v>
      </c>
    </row>
    <row r="35" spans="2:13" ht="16.5" thickBot="1" x14ac:dyDescent="0.4">
      <c r="B35" s="480"/>
      <c r="C35" s="304" t="s">
        <v>158</v>
      </c>
      <c r="D35" s="345" t="s">
        <v>16</v>
      </c>
      <c r="E35" s="291">
        <f>(E34*1000)/E33</f>
        <v>3555.9756353707203</v>
      </c>
      <c r="F35" s="292">
        <f>(F34*1000)/F33</f>
        <v>12642.101965601963</v>
      </c>
      <c r="G35" s="292">
        <f>(G34*1000)/G33</f>
        <v>5395.8946818704799</v>
      </c>
      <c r="H35" s="362">
        <f>(H34*1000)/H33</f>
        <v>3006.0137457044671</v>
      </c>
      <c r="I35" s="293">
        <v>5284</v>
      </c>
      <c r="J35" s="293">
        <v>4089</v>
      </c>
      <c r="K35" s="293">
        <f>M34/K33</f>
        <v>3823.6551215917466</v>
      </c>
      <c r="L35" s="15"/>
    </row>
    <row r="36" spans="2:13" ht="27.5" customHeight="1" thickBot="1" x14ac:dyDescent="0.4">
      <c r="B36" s="363" t="s">
        <v>170</v>
      </c>
      <c r="C36" s="364" t="s">
        <v>145</v>
      </c>
      <c r="D36" s="365" t="s">
        <v>186</v>
      </c>
      <c r="E36" s="366">
        <v>359.08</v>
      </c>
      <c r="F36" s="367">
        <v>434.27115000000003</v>
      </c>
      <c r="G36" s="368">
        <v>533.91110493000008</v>
      </c>
      <c r="H36" s="369">
        <v>361.3</v>
      </c>
      <c r="I36" s="370">
        <v>582.12</v>
      </c>
      <c r="J36" s="370">
        <v>330.85700000000003</v>
      </c>
      <c r="K36" s="370">
        <v>233.37100000000001</v>
      </c>
      <c r="L36" s="15"/>
    </row>
    <row r="37" spans="2:13" ht="16" x14ac:dyDescent="0.35">
      <c r="B37" s="481" t="s">
        <v>167</v>
      </c>
      <c r="C37" s="338" t="s">
        <v>157</v>
      </c>
      <c r="D37" s="371">
        <v>143</v>
      </c>
      <c r="E37" s="340">
        <v>251.34</v>
      </c>
      <c r="F37" s="341">
        <v>106.74000000000001</v>
      </c>
      <c r="G37" s="342">
        <v>93.435122000000007</v>
      </c>
      <c r="H37" s="343">
        <v>50.55</v>
      </c>
      <c r="I37" s="349">
        <v>56.39</v>
      </c>
      <c r="J37" s="349">
        <v>75.91</v>
      </c>
      <c r="K37" s="349">
        <v>62.48</v>
      </c>
      <c r="L37" s="15"/>
    </row>
    <row r="38" spans="2:13" ht="16" x14ac:dyDescent="0.35">
      <c r="B38" s="479"/>
      <c r="C38" s="303" t="s">
        <v>145</v>
      </c>
      <c r="D38" s="21">
        <v>86</v>
      </c>
      <c r="E38" s="16">
        <v>108.24</v>
      </c>
      <c r="F38" s="19">
        <v>88.610009999999988</v>
      </c>
      <c r="G38" s="26">
        <v>87.944511999999989</v>
      </c>
      <c r="H38" s="24">
        <v>71.180000000000007</v>
      </c>
      <c r="I38" s="289">
        <v>56.27</v>
      </c>
      <c r="J38" s="289">
        <v>68.837000000000003</v>
      </c>
      <c r="K38" s="289">
        <v>54.445999999999998</v>
      </c>
      <c r="L38" s="15"/>
      <c r="M38" s="404">
        <v>54446</v>
      </c>
    </row>
    <row r="39" spans="2:13" ht="16.5" thickBot="1" x14ac:dyDescent="0.4">
      <c r="B39" s="480"/>
      <c r="C39" s="304" t="s">
        <v>158</v>
      </c>
      <c r="D39" s="290">
        <v>605</v>
      </c>
      <c r="E39" s="291">
        <f>(E38*1000)/E37</f>
        <v>430.65170685127714</v>
      </c>
      <c r="F39" s="292">
        <f>(F38*1000)/F37</f>
        <v>830.14811691961768</v>
      </c>
      <c r="G39" s="292">
        <f>(G38*1000)/G37</f>
        <v>941.236123178605</v>
      </c>
      <c r="H39" s="292">
        <f>(H38*1000)/H37</f>
        <v>1408.1107814045499</v>
      </c>
      <c r="I39" s="293">
        <v>998</v>
      </c>
      <c r="J39" s="293">
        <v>907</v>
      </c>
      <c r="K39" s="293">
        <f>M38/K37</f>
        <v>871.41485275288096</v>
      </c>
      <c r="L39" s="15"/>
    </row>
    <row r="40" spans="2:13" ht="16" x14ac:dyDescent="0.35">
      <c r="B40" s="481" t="s">
        <v>168</v>
      </c>
      <c r="C40" s="338" t="s">
        <v>157</v>
      </c>
      <c r="D40" s="371">
        <v>54</v>
      </c>
      <c r="E40" s="340">
        <v>32.630000000000003</v>
      </c>
      <c r="F40" s="341">
        <v>19.060000000000002</v>
      </c>
      <c r="G40" s="342">
        <v>41.461276400000003</v>
      </c>
      <c r="H40" s="343">
        <v>23.06</v>
      </c>
      <c r="I40" s="349">
        <v>25.23</v>
      </c>
      <c r="J40" s="349">
        <v>32.29</v>
      </c>
      <c r="K40" s="349">
        <v>24.97</v>
      </c>
      <c r="L40" s="15"/>
    </row>
    <row r="41" spans="2:13" ht="16" x14ac:dyDescent="0.35">
      <c r="B41" s="479"/>
      <c r="C41" s="303" t="s">
        <v>145</v>
      </c>
      <c r="D41" s="18">
        <v>13</v>
      </c>
      <c r="E41" s="16">
        <v>5.12</v>
      </c>
      <c r="F41" s="19">
        <v>3.31955</v>
      </c>
      <c r="G41" s="26">
        <v>11.03304677</v>
      </c>
      <c r="H41" s="24">
        <v>7.76</v>
      </c>
      <c r="I41" s="288">
        <v>6.64</v>
      </c>
      <c r="J41" s="288">
        <v>9.7070000000000007</v>
      </c>
      <c r="K41" s="288">
        <v>7.3129999999999997</v>
      </c>
      <c r="L41" s="15"/>
      <c r="M41" s="404">
        <v>7313</v>
      </c>
    </row>
    <row r="42" spans="2:13" ht="16.5" thickBot="1" x14ac:dyDescent="0.4">
      <c r="B42" s="480"/>
      <c r="C42" s="304" t="s">
        <v>158</v>
      </c>
      <c r="D42" s="373">
        <v>241</v>
      </c>
      <c r="E42" s="291">
        <f>(E41*1000)/E40</f>
        <v>156.91081826539994</v>
      </c>
      <c r="F42" s="359">
        <f>(F41*1000)/F40</f>
        <v>174.16316894018885</v>
      </c>
      <c r="G42" s="359">
        <f>(G41*1000)/G40</f>
        <v>266.10485079036306</v>
      </c>
      <c r="H42" s="359">
        <f>(H41*1000)/H40</f>
        <v>336.5134431916739</v>
      </c>
      <c r="I42" s="361">
        <v>263</v>
      </c>
      <c r="J42" s="361">
        <v>301</v>
      </c>
      <c r="K42" s="361">
        <f>M41/K40</f>
        <v>292.87144573488189</v>
      </c>
      <c r="L42" s="15"/>
    </row>
    <row r="43" spans="2:13" ht="16" x14ac:dyDescent="0.35">
      <c r="B43" s="478" t="s">
        <v>169</v>
      </c>
      <c r="C43" s="302" t="s">
        <v>157</v>
      </c>
      <c r="D43" s="372" t="s">
        <v>16</v>
      </c>
      <c r="E43" s="296">
        <v>106.44</v>
      </c>
      <c r="F43" s="297">
        <v>128.82000000000002</v>
      </c>
      <c r="G43" s="298">
        <v>91.1089731</v>
      </c>
      <c r="H43" s="299">
        <v>54.63</v>
      </c>
      <c r="I43" s="305">
        <v>70.569999999999993</v>
      </c>
      <c r="J43" s="305">
        <v>67.7</v>
      </c>
      <c r="K43" s="305">
        <v>70.849999999999994</v>
      </c>
      <c r="L43" s="15"/>
    </row>
    <row r="44" spans="2:13" ht="16" x14ac:dyDescent="0.35">
      <c r="B44" s="479"/>
      <c r="C44" s="303" t="s">
        <v>145</v>
      </c>
      <c r="D44" s="22" t="s">
        <v>16</v>
      </c>
      <c r="E44" s="16">
        <v>26.94</v>
      </c>
      <c r="F44" s="19">
        <v>38.974340000000005</v>
      </c>
      <c r="G44" s="26">
        <v>30.577369400000002</v>
      </c>
      <c r="H44" s="24">
        <v>25.47</v>
      </c>
      <c r="I44" s="286">
        <v>28.33</v>
      </c>
      <c r="J44" s="286">
        <v>20.379000000000001</v>
      </c>
      <c r="K44" s="286">
        <v>21.84</v>
      </c>
      <c r="L44" s="15"/>
      <c r="M44" s="407">
        <v>21840</v>
      </c>
    </row>
    <row r="45" spans="2:13" ht="16.5" thickBot="1" x14ac:dyDescent="0.4">
      <c r="B45" s="480"/>
      <c r="C45" s="304" t="s">
        <v>158</v>
      </c>
      <c r="D45" s="290" t="s">
        <v>185</v>
      </c>
      <c r="E45" s="291">
        <f>(E44*1000)/E43</f>
        <v>253.10033821871477</v>
      </c>
      <c r="F45" s="292">
        <f>(F44*1000)/F43</f>
        <v>302.54882782176679</v>
      </c>
      <c r="G45" s="292">
        <f>(G44*1000)/G43</f>
        <v>335.61314939241703</v>
      </c>
      <c r="H45" s="292">
        <f>(H44*1000)/H43</f>
        <v>466.22734761120262</v>
      </c>
      <c r="I45" s="293">
        <v>401</v>
      </c>
      <c r="J45" s="293">
        <v>301</v>
      </c>
      <c r="K45" s="293">
        <f>M44/K43</f>
        <v>308.25688073394497</v>
      </c>
      <c r="L45" s="15"/>
    </row>
    <row r="46" spans="2:13" ht="22.5" customHeight="1" x14ac:dyDescent="0.35">
      <c r="B46" s="473"/>
      <c r="C46" s="473"/>
      <c r="D46" s="473"/>
      <c r="E46" s="473"/>
      <c r="F46" s="14"/>
      <c r="G46" s="15"/>
      <c r="H46" s="15"/>
      <c r="I46" s="15"/>
      <c r="J46" s="15"/>
      <c r="K46" s="15"/>
      <c r="L46" s="15"/>
    </row>
    <row r="47" spans="2:13" ht="15.5" x14ac:dyDescent="0.35">
      <c r="B47" s="442" t="s">
        <v>304</v>
      </c>
      <c r="C47" s="442"/>
      <c r="D47" s="442"/>
      <c r="E47" s="442"/>
    </row>
  </sheetData>
  <mergeCells count="27">
    <mergeCell ref="K28:K29"/>
    <mergeCell ref="B1:G1"/>
    <mergeCell ref="D28:D29"/>
    <mergeCell ref="B37:B39"/>
    <mergeCell ref="B40:B42"/>
    <mergeCell ref="C28:C29"/>
    <mergeCell ref="B16:B18"/>
    <mergeCell ref="B3:C3"/>
    <mergeCell ref="B4:B6"/>
    <mergeCell ref="B7:B9"/>
    <mergeCell ref="B10:B12"/>
    <mergeCell ref="B13:B15"/>
    <mergeCell ref="E28:E29"/>
    <mergeCell ref="F28:F29"/>
    <mergeCell ref="G28:G29"/>
    <mergeCell ref="B30:B32"/>
    <mergeCell ref="J28:J29"/>
    <mergeCell ref="B19:B21"/>
    <mergeCell ref="B22:B24"/>
    <mergeCell ref="B25:B27"/>
    <mergeCell ref="B28:B29"/>
    <mergeCell ref="B47:E47"/>
    <mergeCell ref="B46:E46"/>
    <mergeCell ref="H28:H29"/>
    <mergeCell ref="I28:I29"/>
    <mergeCell ref="B43:B45"/>
    <mergeCell ref="B33:B3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5.1</vt:lpstr>
      <vt:lpstr>Table 5.2</vt:lpstr>
      <vt:lpstr>Table 5.3</vt:lpstr>
      <vt:lpstr>Table 5.4</vt:lpstr>
      <vt:lpstr>Table 5.5</vt:lpstr>
      <vt:lpstr>Table 5.6</vt:lpstr>
      <vt:lpstr>Table 5.7</vt:lpstr>
      <vt:lpstr>Table 5.8</vt:lpstr>
      <vt:lpstr>Table 5.9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2023-11-10T06:32:19Z</cp:lastPrinted>
  <dcterms:created xsi:type="dcterms:W3CDTF">2015-06-05T18:17:20Z</dcterms:created>
  <dcterms:modified xsi:type="dcterms:W3CDTF">2025-07-07T03:56:41Z</dcterms:modified>
</cp:coreProperties>
</file>